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711DE9F8-BF87-457C-A53E-2AECBE71DBA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amsi V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E33" i="2"/>
  <c r="G33" i="2"/>
  <c r="E32" i="2"/>
  <c r="G60" i="2"/>
  <c r="G63" i="2"/>
  <c r="G65" i="2"/>
  <c r="G46" i="2"/>
  <c r="G45" i="2"/>
  <c r="G44" i="2"/>
  <c r="F44" i="2"/>
  <c r="F45" i="2"/>
  <c r="F46" i="2"/>
  <c r="E44" i="2"/>
  <c r="E45" i="2"/>
  <c r="E46" i="2"/>
  <c r="B90" i="2" l="1"/>
  <c r="C90" i="2"/>
  <c r="D50" i="2" l="1"/>
  <c r="P50" i="2" l="1"/>
  <c r="O50" i="2"/>
  <c r="N50" i="2"/>
  <c r="M50" i="2"/>
  <c r="L50" i="2"/>
  <c r="K50" i="2"/>
  <c r="J50" i="2"/>
  <c r="H50" i="2"/>
  <c r="I50" i="2"/>
  <c r="G50" i="2"/>
  <c r="F50" i="2"/>
  <c r="E50" i="2"/>
  <c r="B32" i="2"/>
  <c r="D46" i="2" l="1"/>
  <c r="H46" i="2" s="1"/>
  <c r="I46" i="2" s="1"/>
  <c r="J46" i="2" s="1"/>
  <c r="K46" i="2" s="1"/>
  <c r="D45" i="2"/>
  <c r="H45" i="2" s="1"/>
  <c r="I45" i="2" s="1"/>
  <c r="D44" i="2"/>
  <c r="H44" i="2" l="1"/>
  <c r="I44" i="2" s="1"/>
  <c r="F48" i="2"/>
  <c r="L46" i="2"/>
  <c r="M46" i="2" s="1"/>
  <c r="N46" i="2" s="1"/>
  <c r="O46" i="2" s="1"/>
  <c r="P46" i="2" s="1"/>
  <c r="J44" i="2"/>
  <c r="K44" i="2" s="1"/>
  <c r="J45" i="2"/>
  <c r="K45" i="2" s="1"/>
  <c r="B33" i="2"/>
  <c r="L44" i="2" l="1"/>
  <c r="M44" i="2" s="1"/>
  <c r="N44" i="2" s="1"/>
  <c r="L45" i="2"/>
  <c r="M45" i="2" s="1"/>
  <c r="N45" i="2" s="1"/>
  <c r="O45" i="2" s="1"/>
  <c r="P45" i="2" s="1"/>
  <c r="C48" i="2"/>
  <c r="D48" i="2"/>
  <c r="B48" i="2"/>
  <c r="D32" i="2" s="1"/>
  <c r="B23" i="2"/>
  <c r="B22" i="2"/>
  <c r="C23" i="2"/>
  <c r="C22" i="2"/>
  <c r="B17" i="2"/>
  <c r="B9" i="2" s="1"/>
  <c r="B5" i="2"/>
  <c r="B10" i="2"/>
  <c r="B11" i="2"/>
  <c r="B16" i="2"/>
  <c r="B8" i="2" s="1"/>
  <c r="C17" i="2"/>
  <c r="C16" i="2"/>
  <c r="C56" i="2"/>
  <c r="O44" i="2" l="1"/>
  <c r="P44" i="2" s="1"/>
  <c r="N48" i="2"/>
  <c r="B57" i="2"/>
  <c r="B58" i="2" s="1"/>
  <c r="B81" i="2" l="1"/>
  <c r="P5" i="2"/>
  <c r="E90" i="2"/>
  <c r="F90" i="2"/>
  <c r="G90" i="2"/>
  <c r="H90" i="2"/>
  <c r="I90" i="2"/>
  <c r="J90" i="2"/>
  <c r="K90" i="2"/>
  <c r="L90" i="2"/>
  <c r="M90" i="2"/>
  <c r="N90" i="2"/>
  <c r="O90" i="2"/>
  <c r="P90" i="2"/>
  <c r="D90" i="2"/>
  <c r="E48" i="2" l="1"/>
  <c r="C57" i="2"/>
  <c r="B60" i="2" l="1"/>
  <c r="C11" i="2"/>
  <c r="C10" i="2"/>
  <c r="B86" i="2" l="1"/>
  <c r="C32" i="2"/>
  <c r="B63" i="2"/>
  <c r="B79" i="2"/>
  <c r="C9" i="2"/>
  <c r="D9" i="2" s="1"/>
  <c r="C8" i="2"/>
  <c r="D8" i="2" s="1"/>
  <c r="D57" i="2"/>
  <c r="H48" i="2" l="1"/>
  <c r="E57" i="2"/>
  <c r="I48" i="2" l="1"/>
  <c r="F57" i="2"/>
  <c r="J48" i="2" l="1"/>
  <c r="G57" i="2"/>
  <c r="K48" i="2" l="1"/>
  <c r="L48" i="2" l="1"/>
  <c r="P74" i="2"/>
  <c r="P81" i="2"/>
  <c r="M48" i="2" l="1"/>
  <c r="P33" i="2"/>
  <c r="H57" i="2" l="1"/>
  <c r="P48" i="2" l="1"/>
  <c r="O48" i="2"/>
  <c r="I57" i="2"/>
  <c r="F32" i="2"/>
  <c r="J57" i="2" l="1"/>
  <c r="G32" i="2"/>
  <c r="K57" i="2" l="1"/>
  <c r="H32" i="2"/>
  <c r="I32" i="2"/>
  <c r="B39" i="2"/>
  <c r="C33" i="2"/>
  <c r="L57" i="2" l="1"/>
  <c r="J32" i="2"/>
  <c r="C39" i="2"/>
  <c r="M57" i="2" l="1"/>
  <c r="D33" i="2"/>
  <c r="C60" i="2"/>
  <c r="C86" i="2" s="1"/>
  <c r="D39" i="2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C5" i="2"/>
  <c r="D5" i="2"/>
  <c r="E5" i="2"/>
  <c r="F5" i="2"/>
  <c r="G5" i="2"/>
  <c r="H5" i="2"/>
  <c r="I5" i="2"/>
  <c r="J5" i="2"/>
  <c r="K5" i="2"/>
  <c r="L5" i="2"/>
  <c r="M5" i="2"/>
  <c r="N5" i="2"/>
  <c r="O5" i="2"/>
  <c r="N57" i="2" l="1"/>
  <c r="K32" i="2"/>
  <c r="D26" i="2"/>
  <c r="E26" i="2" s="1"/>
  <c r="F26" i="2" s="1"/>
  <c r="G26" i="2" s="1"/>
  <c r="H26" i="2" s="1"/>
  <c r="I26" i="2" s="1"/>
  <c r="J26" i="2" s="1"/>
  <c r="K26" i="2" s="1"/>
  <c r="L26" i="2" s="1"/>
  <c r="M26" i="2" s="1"/>
  <c r="N26" i="2" s="1"/>
  <c r="D21" i="2"/>
  <c r="E21" i="2" s="1"/>
  <c r="F21" i="2" s="1"/>
  <c r="G21" i="2" s="1"/>
  <c r="H21" i="2" s="1"/>
  <c r="I21" i="2" s="1"/>
  <c r="J21" i="2" s="1"/>
  <c r="K21" i="2" s="1"/>
  <c r="L21" i="2" s="1"/>
  <c r="M21" i="2" s="1"/>
  <c r="D11" i="2"/>
  <c r="E11" i="2" s="1"/>
  <c r="F11" i="2" s="1"/>
  <c r="L32" i="2"/>
  <c r="E60" i="2"/>
  <c r="E39" i="2"/>
  <c r="D10" i="2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O10" i="2" s="1"/>
  <c r="B28" i="2"/>
  <c r="B88" i="2" s="1"/>
  <c r="B91" i="2" s="1"/>
  <c r="D23" i="2"/>
  <c r="E23" i="2" s="1"/>
  <c r="F23" i="2" s="1"/>
  <c r="G23" i="2" s="1"/>
  <c r="H23" i="2" s="1"/>
  <c r="I23" i="2" s="1"/>
  <c r="J23" i="2" s="1"/>
  <c r="K23" i="2" s="1"/>
  <c r="L23" i="2" s="1"/>
  <c r="M23" i="2" s="1"/>
  <c r="D22" i="2"/>
  <c r="E22" i="2" s="1"/>
  <c r="F22" i="2" s="1"/>
  <c r="G22" i="2" s="1"/>
  <c r="H22" i="2" s="1"/>
  <c r="I22" i="2" s="1"/>
  <c r="J22" i="2" s="1"/>
  <c r="K22" i="2" s="1"/>
  <c r="L22" i="2" s="1"/>
  <c r="M22" i="2" s="1"/>
  <c r="N22" i="2" s="1"/>
  <c r="O22" i="2" s="1"/>
  <c r="P22" i="2" s="1"/>
  <c r="D24" i="2"/>
  <c r="E24" i="2" s="1"/>
  <c r="F24" i="2" s="1"/>
  <c r="G24" i="2" s="1"/>
  <c r="H24" i="2" s="1"/>
  <c r="I24" i="2" s="1"/>
  <c r="J24" i="2" s="1"/>
  <c r="K24" i="2" s="1"/>
  <c r="L24" i="2" s="1"/>
  <c r="M24" i="2" s="1"/>
  <c r="N24" i="2" s="1"/>
  <c r="B35" i="2" l="1"/>
  <c r="B51" i="2" s="1"/>
  <c r="B49" i="2" s="1"/>
  <c r="B64" i="2"/>
  <c r="B65" i="2" s="1"/>
  <c r="B68" i="2" s="1"/>
  <c r="B80" i="2"/>
  <c r="O26" i="2"/>
  <c r="P26" i="2" s="1"/>
  <c r="O24" i="2"/>
  <c r="P24" i="2" s="1"/>
  <c r="P10" i="2"/>
  <c r="O18" i="2"/>
  <c r="O57" i="2"/>
  <c r="N23" i="2"/>
  <c r="N21" i="2"/>
  <c r="D60" i="2"/>
  <c r="E18" i="2"/>
  <c r="F39" i="2"/>
  <c r="D18" i="2"/>
  <c r="D19" i="2"/>
  <c r="E19" i="2"/>
  <c r="E85" i="2"/>
  <c r="F85" i="2" s="1"/>
  <c r="G85" i="2" s="1"/>
  <c r="H85" i="2" s="1"/>
  <c r="I85" i="2" s="1"/>
  <c r="J85" i="2" s="1"/>
  <c r="K85" i="2" s="1"/>
  <c r="L85" i="2" s="1"/>
  <c r="M85" i="2" s="1"/>
  <c r="N85" i="2" s="1"/>
  <c r="O85" i="2" s="1"/>
  <c r="P85" i="2" s="1"/>
  <c r="D62" i="2"/>
  <c r="E62" i="2" s="1"/>
  <c r="F62" i="2" s="1"/>
  <c r="G62" i="2" s="1"/>
  <c r="H62" i="2" s="1"/>
  <c r="I62" i="2" s="1"/>
  <c r="J62" i="2" s="1"/>
  <c r="K62" i="2" s="1"/>
  <c r="L62" i="2" s="1"/>
  <c r="M62" i="2" s="1"/>
  <c r="N62" i="2" s="1"/>
  <c r="O62" i="2" s="1"/>
  <c r="P62" i="2" s="1"/>
  <c r="D78" i="2"/>
  <c r="E78" i="2" s="1"/>
  <c r="F78" i="2" s="1"/>
  <c r="G78" i="2" s="1"/>
  <c r="H78" i="2" s="1"/>
  <c r="I78" i="2" s="1"/>
  <c r="J78" i="2" s="1"/>
  <c r="K78" i="2" s="1"/>
  <c r="L78" i="2" s="1"/>
  <c r="M78" i="2" s="1"/>
  <c r="N78" i="2" s="1"/>
  <c r="O78" i="2" s="1"/>
  <c r="P78" i="2" s="1"/>
  <c r="B82" i="2" l="1"/>
  <c r="B83" i="2"/>
  <c r="O23" i="2"/>
  <c r="P23" i="2" s="1"/>
  <c r="O21" i="2"/>
  <c r="P21" i="2" s="1"/>
  <c r="P57" i="2"/>
  <c r="M32" i="2"/>
  <c r="F18" i="2"/>
  <c r="F60" i="2"/>
  <c r="F19" i="2"/>
  <c r="G39" i="2"/>
  <c r="G11" i="2"/>
  <c r="H11" i="2" s="1"/>
  <c r="G18" i="2"/>
  <c r="D81" i="2"/>
  <c r="E81" i="2"/>
  <c r="F81" i="2"/>
  <c r="G81" i="2"/>
  <c r="H81" i="2"/>
  <c r="I81" i="2"/>
  <c r="J81" i="2"/>
  <c r="K81" i="2"/>
  <c r="L81" i="2"/>
  <c r="M81" i="2"/>
  <c r="N81" i="2"/>
  <c r="O81" i="2"/>
  <c r="C81" i="2"/>
  <c r="N32" i="2" l="1"/>
  <c r="H60" i="2"/>
  <c r="H39" i="2"/>
  <c r="H19" i="2" s="1"/>
  <c r="G19" i="2"/>
  <c r="H18" i="2"/>
  <c r="I11" i="2"/>
  <c r="O32" i="2" l="1"/>
  <c r="P32" i="2"/>
  <c r="I60" i="2"/>
  <c r="I39" i="2"/>
  <c r="I19" i="2" s="1"/>
  <c r="J11" i="2"/>
  <c r="I18" i="2"/>
  <c r="F33" i="2"/>
  <c r="H33" i="2"/>
  <c r="I33" i="2"/>
  <c r="J33" i="2"/>
  <c r="K33" i="2"/>
  <c r="L33" i="2"/>
  <c r="M33" i="2"/>
  <c r="N33" i="2"/>
  <c r="O33" i="2"/>
  <c r="J60" i="2" l="1"/>
  <c r="J39" i="2"/>
  <c r="J19" i="2" s="1"/>
  <c r="K11" i="2"/>
  <c r="J18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D56" i="2"/>
  <c r="E56" i="2" s="1"/>
  <c r="F56" i="2" s="1"/>
  <c r="G56" i="2" s="1"/>
  <c r="H56" i="2" s="1"/>
  <c r="I56" i="2" s="1"/>
  <c r="J56" i="2" s="1"/>
  <c r="K56" i="2" s="1"/>
  <c r="L56" i="2" s="1"/>
  <c r="M56" i="2" s="1"/>
  <c r="N56" i="2" s="1"/>
  <c r="O56" i="2" s="1"/>
  <c r="P56" i="2" s="1"/>
  <c r="D43" i="2"/>
  <c r="E43" i="2" s="1"/>
  <c r="F43" i="2" s="1"/>
  <c r="G43" i="2" s="1"/>
  <c r="H43" i="2" s="1"/>
  <c r="I43" i="2" s="1"/>
  <c r="J43" i="2" s="1"/>
  <c r="K43" i="2" s="1"/>
  <c r="L43" i="2" s="1"/>
  <c r="M43" i="2" s="1"/>
  <c r="N43" i="2" s="1"/>
  <c r="O43" i="2" s="1"/>
  <c r="P43" i="2" s="1"/>
  <c r="C37" i="2"/>
  <c r="D37" i="2" s="1"/>
  <c r="E37" i="2" s="1"/>
  <c r="F37" i="2" s="1"/>
  <c r="G37" i="2" s="1"/>
  <c r="H37" i="2" s="1"/>
  <c r="I37" i="2" s="1"/>
  <c r="J37" i="2" s="1"/>
  <c r="K37" i="2" s="1"/>
  <c r="L37" i="2" s="1"/>
  <c r="M37" i="2" s="1"/>
  <c r="N37" i="2" s="1"/>
  <c r="O37" i="2" s="1"/>
  <c r="P37" i="2" s="1"/>
  <c r="P58" i="2" l="1"/>
  <c r="K60" i="2"/>
  <c r="K39" i="2"/>
  <c r="K19" i="2" s="1"/>
  <c r="L11" i="2"/>
  <c r="K18" i="2"/>
  <c r="D25" i="2"/>
  <c r="E25" i="2" s="1"/>
  <c r="F25" i="2" s="1"/>
  <c r="G25" i="2" s="1"/>
  <c r="H25" i="2" s="1"/>
  <c r="I25" i="2" s="1"/>
  <c r="J25" i="2" s="1"/>
  <c r="K25" i="2" s="1"/>
  <c r="L25" i="2" s="1"/>
  <c r="M25" i="2" s="1"/>
  <c r="N25" i="2" s="1"/>
  <c r="B72" i="2"/>
  <c r="B74" i="2"/>
  <c r="O25" i="2" l="1"/>
  <c r="P25" i="2" s="1"/>
  <c r="L60" i="2"/>
  <c r="L39" i="2"/>
  <c r="L19" i="2" s="1"/>
  <c r="M11" i="2"/>
  <c r="L18" i="2"/>
  <c r="B71" i="2"/>
  <c r="B73" i="2" s="1"/>
  <c r="M39" i="2" l="1"/>
  <c r="N60" i="2"/>
  <c r="M18" i="2"/>
  <c r="M19" i="2"/>
  <c r="N11" i="2"/>
  <c r="C71" i="2"/>
  <c r="D58" i="2"/>
  <c r="C58" i="2"/>
  <c r="C79" i="2"/>
  <c r="C63" i="2"/>
  <c r="M60" i="2" l="1"/>
  <c r="N39" i="2"/>
  <c r="N19" i="2" s="1"/>
  <c r="O11" i="2"/>
  <c r="N18" i="2"/>
  <c r="D71" i="2"/>
  <c r="D86" i="2"/>
  <c r="E71" i="2"/>
  <c r="E86" i="2"/>
  <c r="E58" i="2"/>
  <c r="D79" i="2"/>
  <c r="D63" i="2"/>
  <c r="E79" i="2"/>
  <c r="E63" i="2"/>
  <c r="F86" i="2"/>
  <c r="P11" i="2" l="1"/>
  <c r="O19" i="2"/>
  <c r="P18" i="2"/>
  <c r="O39" i="2"/>
  <c r="P39" i="2"/>
  <c r="F58" i="2"/>
  <c r="G86" i="2"/>
  <c r="F71" i="2"/>
  <c r="F63" i="2"/>
  <c r="F79" i="2"/>
  <c r="P19" i="2" l="1"/>
  <c r="P60" i="2"/>
  <c r="O60" i="2"/>
  <c r="G58" i="2"/>
  <c r="H86" i="2"/>
  <c r="G79" i="2"/>
  <c r="G71" i="2"/>
  <c r="P79" i="2" l="1"/>
  <c r="P71" i="2"/>
  <c r="P63" i="2"/>
  <c r="P86" i="2"/>
  <c r="H58" i="2"/>
  <c r="H79" i="2"/>
  <c r="H71" i="2"/>
  <c r="H63" i="2"/>
  <c r="I86" i="2"/>
  <c r="I58" i="2" l="1"/>
  <c r="J86" i="2"/>
  <c r="I79" i="2"/>
  <c r="I71" i="2"/>
  <c r="I63" i="2"/>
  <c r="J58" i="2" l="1"/>
  <c r="K86" i="2"/>
  <c r="J79" i="2"/>
  <c r="J71" i="2"/>
  <c r="J63" i="2"/>
  <c r="K58" i="2" l="1"/>
  <c r="L86" i="2"/>
  <c r="K71" i="2"/>
  <c r="K63" i="2"/>
  <c r="K79" i="2"/>
  <c r="L58" i="2" l="1"/>
  <c r="L71" i="2"/>
  <c r="L63" i="2"/>
  <c r="L79" i="2"/>
  <c r="M86" i="2"/>
  <c r="M58" i="2" l="1"/>
  <c r="O86" i="2"/>
  <c r="M71" i="2"/>
  <c r="M63" i="2"/>
  <c r="M79" i="2"/>
  <c r="N86" i="2"/>
  <c r="O58" i="2" l="1"/>
  <c r="N58" i="2"/>
  <c r="O63" i="2"/>
  <c r="O79" i="2"/>
  <c r="O71" i="2"/>
  <c r="N71" i="2"/>
  <c r="N63" i="2"/>
  <c r="N79" i="2"/>
  <c r="E8" i="2" l="1"/>
  <c r="D16" i="2"/>
  <c r="F8" i="2" l="1"/>
  <c r="E16" i="2"/>
  <c r="F16" i="2" l="1"/>
  <c r="G8" i="2"/>
  <c r="H8" i="2" l="1"/>
  <c r="G16" i="2"/>
  <c r="H16" i="2" l="1"/>
  <c r="I8" i="2"/>
  <c r="J8" i="2" l="1"/>
  <c r="I16" i="2"/>
  <c r="K8" i="2" l="1"/>
  <c r="J16" i="2"/>
  <c r="K16" i="2" l="1"/>
  <c r="L8" i="2"/>
  <c r="M8" i="2" l="1"/>
  <c r="L16" i="2"/>
  <c r="M16" i="2" l="1"/>
  <c r="N8" i="2"/>
  <c r="O8" i="2" l="1"/>
  <c r="O16" i="2" s="1"/>
  <c r="N16" i="2"/>
  <c r="P8" i="2" l="1"/>
  <c r="P16" i="2" s="1"/>
  <c r="C28" i="2"/>
  <c r="C88" i="2" s="1"/>
  <c r="C91" i="2" s="1"/>
  <c r="D17" i="2"/>
  <c r="D28" i="2" s="1"/>
  <c r="E9" i="2" l="1"/>
  <c r="F9" i="2" s="1"/>
  <c r="D35" i="2"/>
  <c r="D88" i="2"/>
  <c r="D91" i="2" s="1"/>
  <c r="D80" i="2"/>
  <c r="D64" i="2"/>
  <c r="D65" i="2" s="1"/>
  <c r="D68" i="2" s="1"/>
  <c r="D72" i="2"/>
  <c r="D73" i="2" s="1"/>
  <c r="C72" i="2"/>
  <c r="C73" i="2" s="1"/>
  <c r="C80" i="2"/>
  <c r="C35" i="2"/>
  <c r="C51" i="2" s="1"/>
  <c r="C49" i="2" s="1"/>
  <c r="C64" i="2"/>
  <c r="C65" i="2" s="1"/>
  <c r="C68" i="2" s="1"/>
  <c r="D92" i="2" l="1"/>
  <c r="E17" i="2"/>
  <c r="E28" i="2" s="1"/>
  <c r="E80" i="2" s="1"/>
  <c r="D51" i="2"/>
  <c r="D49" i="2" s="1"/>
  <c r="D82" i="2"/>
  <c r="D83" i="2"/>
  <c r="C82" i="2"/>
  <c r="C83" i="2"/>
  <c r="G9" i="2"/>
  <c r="F17" i="2"/>
  <c r="F28" i="2" s="1"/>
  <c r="E88" i="2" l="1"/>
  <c r="E91" i="2" s="1"/>
  <c r="E92" i="2" s="1"/>
  <c r="E35" i="2"/>
  <c r="E51" i="2" s="1"/>
  <c r="E49" i="2" s="1"/>
  <c r="E72" i="2"/>
  <c r="E73" i="2" s="1"/>
  <c r="E64" i="2"/>
  <c r="E65" i="2" s="1"/>
  <c r="E68" i="2" s="1"/>
  <c r="F35" i="2"/>
  <c r="F88" i="2"/>
  <c r="F91" i="2" s="1"/>
  <c r="F72" i="2"/>
  <c r="F73" i="2" s="1"/>
  <c r="F80" i="2"/>
  <c r="F64" i="2"/>
  <c r="F65" i="2" s="1"/>
  <c r="F68" i="2" s="1"/>
  <c r="H9" i="2"/>
  <c r="G17" i="2"/>
  <c r="G28" i="2" s="1"/>
  <c r="E82" i="2"/>
  <c r="E83" i="2"/>
  <c r="F51" i="2" l="1"/>
  <c r="F49" i="2" s="1"/>
  <c r="F92" i="2"/>
  <c r="G72" i="2"/>
  <c r="G73" i="2" s="1"/>
  <c r="G88" i="2"/>
  <c r="G91" i="2" s="1"/>
  <c r="G35" i="2"/>
  <c r="G80" i="2"/>
  <c r="G64" i="2"/>
  <c r="G68" i="2" s="1"/>
  <c r="H17" i="2"/>
  <c r="H28" i="2" s="1"/>
  <c r="I9" i="2"/>
  <c r="F82" i="2"/>
  <c r="F83" i="2"/>
  <c r="G51" i="2" l="1"/>
  <c r="G49" i="2" s="1"/>
  <c r="G92" i="2"/>
  <c r="J9" i="2"/>
  <c r="I17" i="2"/>
  <c r="I28" i="2" s="1"/>
  <c r="H80" i="2"/>
  <c r="H64" i="2"/>
  <c r="H65" i="2" s="1"/>
  <c r="H68" i="2" s="1"/>
  <c r="H72" i="2"/>
  <c r="H73" i="2" s="1"/>
  <c r="H88" i="2"/>
  <c r="H91" i="2" s="1"/>
  <c r="H35" i="2"/>
  <c r="G82" i="2"/>
  <c r="G83" i="2"/>
  <c r="H51" i="2" l="1"/>
  <c r="H49" i="2" s="1"/>
  <c r="H92" i="2"/>
  <c r="H82" i="2"/>
  <c r="H83" i="2"/>
  <c r="I80" i="2"/>
  <c r="I88" i="2"/>
  <c r="I91" i="2" s="1"/>
  <c r="I64" i="2"/>
  <c r="I65" i="2" s="1"/>
  <c r="I68" i="2" s="1"/>
  <c r="I35" i="2"/>
  <c r="I72" i="2"/>
  <c r="I73" i="2" s="1"/>
  <c r="K9" i="2"/>
  <c r="J17" i="2"/>
  <c r="J28" i="2" s="1"/>
  <c r="I51" i="2" l="1"/>
  <c r="I49" i="2" s="1"/>
  <c r="I92" i="2"/>
  <c r="I83" i="2"/>
  <c r="I82" i="2"/>
  <c r="J72" i="2"/>
  <c r="J73" i="2" s="1"/>
  <c r="J88" i="2"/>
  <c r="J91" i="2" s="1"/>
  <c r="J64" i="2"/>
  <c r="J65" i="2" s="1"/>
  <c r="J68" i="2" s="1"/>
  <c r="J80" i="2"/>
  <c r="J35" i="2"/>
  <c r="L9" i="2"/>
  <c r="K17" i="2"/>
  <c r="K28" i="2" s="1"/>
  <c r="J51" i="2" l="1"/>
  <c r="J49" i="2" s="1"/>
  <c r="J92" i="2"/>
  <c r="J82" i="2"/>
  <c r="J83" i="2"/>
  <c r="K80" i="2"/>
  <c r="K35" i="2"/>
  <c r="K88" i="2"/>
  <c r="K91" i="2" s="1"/>
  <c r="K72" i="2"/>
  <c r="K73" i="2" s="1"/>
  <c r="K64" i="2"/>
  <c r="K65" i="2" s="1"/>
  <c r="L17" i="2"/>
  <c r="L28" i="2" s="1"/>
  <c r="M9" i="2"/>
  <c r="K51" i="2" l="1"/>
  <c r="K49" i="2" s="1"/>
  <c r="K92" i="2"/>
  <c r="K82" i="2"/>
  <c r="K83" i="2"/>
  <c r="M17" i="2"/>
  <c r="M28" i="2" s="1"/>
  <c r="N9" i="2"/>
  <c r="L80" i="2"/>
  <c r="L88" i="2"/>
  <c r="L91" i="2" s="1"/>
  <c r="L35" i="2"/>
  <c r="L72" i="2"/>
  <c r="L73" i="2" s="1"/>
  <c r="L64" i="2"/>
  <c r="L65" i="2" s="1"/>
  <c r="L51" i="2" l="1"/>
  <c r="L49" i="2" s="1"/>
  <c r="L92" i="2"/>
  <c r="L82" i="2"/>
  <c r="L83" i="2"/>
  <c r="N17" i="2"/>
  <c r="N28" i="2" s="1"/>
  <c r="O9" i="2"/>
  <c r="O17" i="2" s="1"/>
  <c r="M35" i="2"/>
  <c r="M64" i="2"/>
  <c r="M65" i="2" s="1"/>
  <c r="M88" i="2"/>
  <c r="M91" i="2" s="1"/>
  <c r="M72" i="2"/>
  <c r="M73" i="2" s="1"/>
  <c r="M80" i="2"/>
  <c r="M51" i="2" l="1"/>
  <c r="M49" i="2" s="1"/>
  <c r="M92" i="2"/>
  <c r="O28" i="2"/>
  <c r="P9" i="2"/>
  <c r="P17" i="2" s="1"/>
  <c r="P28" i="2" s="1"/>
  <c r="N64" i="2"/>
  <c r="N65" i="2" s="1"/>
  <c r="N35" i="2"/>
  <c r="N88" i="2"/>
  <c r="N91" i="2" s="1"/>
  <c r="N80" i="2"/>
  <c r="N72" i="2"/>
  <c r="N73" i="2" s="1"/>
  <c r="M83" i="2"/>
  <c r="M82" i="2"/>
  <c r="N51" i="2" l="1"/>
  <c r="N49" i="2" s="1"/>
  <c r="N92" i="2"/>
  <c r="P72" i="2"/>
  <c r="P73" i="2" s="1"/>
  <c r="P88" i="2"/>
  <c r="P91" i="2" s="1"/>
  <c r="P35" i="2"/>
  <c r="P80" i="2"/>
  <c r="P64" i="2"/>
  <c r="P65" i="2" s="1"/>
  <c r="O80" i="2"/>
  <c r="O88" i="2"/>
  <c r="O91" i="2" s="1"/>
  <c r="O64" i="2"/>
  <c r="O65" i="2" s="1"/>
  <c r="O72" i="2"/>
  <c r="O73" i="2" s="1"/>
  <c r="O35" i="2"/>
  <c r="N83" i="2"/>
  <c r="N82" i="2"/>
  <c r="P51" i="2" l="1"/>
  <c r="P49" i="2" s="1"/>
  <c r="O51" i="2"/>
  <c r="O49" i="2" s="1"/>
  <c r="O92" i="2"/>
  <c r="P92" i="2" s="1"/>
  <c r="O82" i="2"/>
  <c r="O83" i="2"/>
  <c r="P83" i="2"/>
  <c r="P82" i="2"/>
</calcChain>
</file>

<file path=xl/sharedStrings.xml><?xml version="1.0" encoding="utf-8"?>
<sst xmlns="http://schemas.openxmlformats.org/spreadsheetml/2006/main" count="73" uniqueCount="65">
  <si>
    <t>Hinnamuutuse indeks</t>
  </si>
  <si>
    <t>Vee-erikasutustasu</t>
  </si>
  <si>
    <t>Tööjõukulu muutuse indeks</t>
  </si>
  <si>
    <t>TOOTMISMAHUD</t>
  </si>
  <si>
    <t>MUUTUVKULUD</t>
  </si>
  <si>
    <t>PÜSIKULUD</t>
  </si>
  <si>
    <t>Tööjõukulu</t>
  </si>
  <si>
    <t>Reovee saastetasu</t>
  </si>
  <si>
    <t>VESI MÜÜDUD KOKKU</t>
  </si>
  <si>
    <t>REOVESI MÜÜDUD KOKKU</t>
  </si>
  <si>
    <t>TEGEVUSKULUDE JA LAENUKATTKORDAJA TÄITMINE</t>
  </si>
  <si>
    <t>TEGEVUSTULUD</t>
  </si>
  <si>
    <t>Elektrikulu reoveepuhasti ja -pumplad</t>
  </si>
  <si>
    <t>Elektrikulu joogiveevarustus</t>
  </si>
  <si>
    <t xml:space="preserve">Muud kulud </t>
  </si>
  <si>
    <t>FINANTSKOHUSTUSED</t>
  </si>
  <si>
    <t>TULUD KOKKU</t>
  </si>
  <si>
    <t>RAHAVOOG ENNE LAENUTEENINDUST</t>
  </si>
  <si>
    <t>LAENUKATTEKORDAJA</t>
  </si>
  <si>
    <t>TEGEVUSKULUD</t>
  </si>
  <si>
    <t>Teenuste kulu kuus keskmisel ühiktarbimisel</t>
  </si>
  <si>
    <t>Teenuse kulukus (%)</t>
  </si>
  <si>
    <t>OMAKAPITALI KULUM</t>
  </si>
  <si>
    <t>VEEMAJANDUSE EBITDA</t>
  </si>
  <si>
    <t>VEEMAJANDUSE TULEMINÄITAJAD</t>
  </si>
  <si>
    <t>TEGEVUSKULUD (KULUMITA)</t>
  </si>
  <si>
    <t>Reovesi reoveepuhastitesse (m3)</t>
  </si>
  <si>
    <t>VEEMAJANDUSE EBIT (OMAKAP.KULUMi KATMINE)</t>
  </si>
  <si>
    <t>Masinate ja kütuse kulud</t>
  </si>
  <si>
    <t>Hooldus (sh.kaubad, toore sisseost), vesi</t>
  </si>
  <si>
    <t>Hooldus (sh.kaubad, toore, sisseost), kanal.</t>
  </si>
  <si>
    <t>Sihtfinantseeringutevälise põhivara kulum</t>
  </si>
  <si>
    <t>Põhjendatud tulukus varadelt (WACC väärtusel 6,28%)</t>
  </si>
  <si>
    <t>Põhivara jääkmaksumus põhjendatud tulususe arvestamiseks</t>
  </si>
  <si>
    <t>RAHAVOOG (EBITDA) ENNE LAENUTEENINDUST</t>
  </si>
  <si>
    <t>SISSETULEKUD: TEGEVUSTULUD</t>
  </si>
  <si>
    <t>VÄLJAMINEKUD: TEGEVUSKULUD</t>
  </si>
  <si>
    <t xml:space="preserve">VÄLJAMINEKUD: INVESTEERINGUD </t>
  </si>
  <si>
    <t>VÄLJAMINEKUD: FINANTSKOHUSTUSED</t>
  </si>
  <si>
    <r>
      <t>MÜÜGIMAHT TEENUSPIIRKONNAS (M</t>
    </r>
    <r>
      <rPr>
        <b/>
        <sz val="11"/>
        <color theme="1"/>
        <rFont val="Calibri"/>
        <family val="2"/>
        <charset val="186"/>
      </rPr>
      <t>³)</t>
    </r>
  </si>
  <si>
    <t>Veetoodang (m3)</t>
  </si>
  <si>
    <t>VEEMAJANDUSTEENUSTE TEGEVUSKULUD KOKKU</t>
  </si>
  <si>
    <t>Käibekapitaliosa (5%) põhjendatud tulususe arvestamiseks</t>
  </si>
  <si>
    <t>MUU VEETEENUSTE TULU</t>
  </si>
  <si>
    <t>VEETEENUSTE PÕHJENDATUD TULUD (KONKURENTSIAMETI METOD.)</t>
  </si>
  <si>
    <r>
      <t>TEENUSTASUD TEENUSPIIRKONDADES m</t>
    </r>
    <r>
      <rPr>
        <b/>
        <sz val="11"/>
        <color theme="1"/>
        <rFont val="Calibri"/>
        <family val="2"/>
        <charset val="186"/>
      </rPr>
      <t>³</t>
    </r>
    <r>
      <rPr>
        <b/>
        <sz val="11"/>
        <color theme="1"/>
        <rFont val="Calibri"/>
        <family val="2"/>
        <charset val="186"/>
        <scheme val="minor"/>
      </rPr>
      <t xml:space="preserve"> kohta käibemaksuta</t>
    </r>
  </si>
  <si>
    <t>PÕHJENDATUD TARIIFITULUD</t>
  </si>
  <si>
    <t>Elanike keskmine ühiktarbimine l/p/in</t>
  </si>
  <si>
    <t>SISSETULEKUD: INVESTEERINGULAENUDE VÕTMINE</t>
  </si>
  <si>
    <t>LAENUKATTEKORDAJA ARVESTUS</t>
  </si>
  <si>
    <t>Veeteenustesse arvestatavate kulu- ja põhjendatud tulususkomponentide summa</t>
  </si>
  <si>
    <t>TARIIFIDE TULU, PROGNOOSTULU KOKKU</t>
  </si>
  <si>
    <t>FINANTSKOHUSTUSTE KATMINE (INTRESSID)</t>
  </si>
  <si>
    <t>KUMULATIIVNE RAHAVOOG AL 2025</t>
  </si>
  <si>
    <t>FINANTSKOHUSTUSTE KATMINE (PÕHIOSAMAKSED)</t>
  </si>
  <si>
    <t>VEEMAJANDUSE RAHAVOOGUDE PROGNOOS ALATES 2025.A</t>
  </si>
  <si>
    <t>RAHAVOOG PROGNOOSAASTATE LÕIKES</t>
  </si>
  <si>
    <t>IT, administreerimis- ja kommunikatsiooniteenuste kulud</t>
  </si>
  <si>
    <t>Vesi</t>
  </si>
  <si>
    <t>Reovesi, I grupp</t>
  </si>
  <si>
    <t>Reovesi, II grupp</t>
  </si>
  <si>
    <t>Reovesi II grupp (Oskar LT)</t>
  </si>
  <si>
    <t>Reovesi I grupp</t>
  </si>
  <si>
    <t>Leibkonnaliikme keskmine sissetulek kuus (Viljandimaa)</t>
  </si>
  <si>
    <t>Lisa 5. RAMSI VK VEEMAJANDUSE FINANTSPROGNOOS 2025-2037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</si>
</sst>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0.000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9" fontId="10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center"/>
    </xf>
    <xf numFmtId="0" fontId="5" fillId="2" borderId="2" xfId="0" applyFont="1" applyFill="1" applyBorder="1"/>
    <xf numFmtId="0" fontId="6" fillId="2" borderId="0" xfId="0" applyFont="1" applyFill="1"/>
    <xf numFmtId="164" fontId="6" fillId="2" borderId="0" xfId="0" applyNumberFormat="1" applyFont="1" applyFill="1" applyAlignment="1">
      <alignment horizontal="center"/>
    </xf>
    <xf numFmtId="0" fontId="6" fillId="2" borderId="2" xfId="0" applyFont="1" applyFill="1" applyBorder="1"/>
    <xf numFmtId="0" fontId="0" fillId="2" borderId="0" xfId="0" applyFill="1"/>
    <xf numFmtId="1" fontId="7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/>
    <xf numFmtId="0" fontId="4" fillId="2" borderId="0" xfId="0" applyFont="1" applyFill="1"/>
    <xf numFmtId="0" fontId="7" fillId="2" borderId="0" xfId="0" applyFont="1" applyFill="1"/>
    <xf numFmtId="2" fontId="5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11" fillId="2" borderId="1" xfId="0" applyFont="1" applyFill="1" applyBorder="1"/>
    <xf numFmtId="165" fontId="11" fillId="2" borderId="1" xfId="1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13" fillId="2" borderId="0" xfId="0" applyFont="1" applyFill="1"/>
    <xf numFmtId="164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" xfId="0" quotePrefix="1" applyNumberFormat="1" applyFont="1" applyFill="1" applyBorder="1" applyAlignment="1">
      <alignment horizontal="center"/>
    </xf>
    <xf numFmtId="10" fontId="5" fillId="2" borderId="1" xfId="1" applyNumberFormat="1" applyFont="1" applyFill="1" applyBorder="1" applyAlignment="1">
      <alignment horizontal="center"/>
    </xf>
    <xf numFmtId="0" fontId="7" fillId="2" borderId="1" xfId="0" applyFont="1" applyFill="1" applyBorder="1"/>
    <xf numFmtId="0" fontId="15" fillId="2" borderId="1" xfId="0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65" fontId="7" fillId="2" borderId="1" xfId="5" applyNumberFormat="1" applyFont="1" applyFill="1" applyBorder="1" applyAlignment="1">
      <alignment horizontal="center"/>
    </xf>
    <xf numFmtId="1" fontId="13" fillId="2" borderId="0" xfId="0" applyNumberFormat="1" applyFont="1" applyFill="1"/>
    <xf numFmtId="0" fontId="8" fillId="2" borderId="1" xfId="0" applyFont="1" applyFill="1" applyBorder="1"/>
    <xf numFmtId="1" fontId="8" fillId="2" borderId="1" xfId="0" applyNumberFormat="1" applyFont="1" applyFill="1" applyBorder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14" fillId="2" borderId="1" xfId="0" applyFont="1" applyFill="1" applyBorder="1"/>
    <xf numFmtId="3" fontId="8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8" fillId="2" borderId="2" xfId="0" applyFont="1" applyFill="1" applyBorder="1"/>
    <xf numFmtId="3" fontId="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67" fontId="0" fillId="2" borderId="0" xfId="0" applyNumberFormat="1" applyFill="1"/>
    <xf numFmtId="2" fontId="8" fillId="2" borderId="1" xfId="0" applyNumberFormat="1" applyFont="1" applyFill="1" applyBorder="1" applyAlignment="1">
      <alignment horizontal="center"/>
    </xf>
    <xf numFmtId="3" fontId="0" fillId="2" borderId="0" xfId="0" applyNumberFormat="1" applyFill="1"/>
    <xf numFmtId="0" fontId="14" fillId="0" borderId="0" xfId="0" applyFont="1"/>
  </cellXfs>
  <cellStyles count="7">
    <cellStyle name="Normaallaad" xfId="0" builtinId="0"/>
    <cellStyle name="Normaallaad 2" xfId="5" xr:uid="{A4D3E4B3-2970-43DE-B274-E5FAB0131943}"/>
    <cellStyle name="Normaallaad 4" xfId="2" xr:uid="{00000000-0005-0000-0000-000000000000}"/>
    <cellStyle name="Normal 2" xfId="3" xr:uid="{00000000-0005-0000-0000-000002000000}"/>
    <cellStyle name="Percent 2" xfId="4" xr:uid="{00000000-0005-0000-0000-000004000000}"/>
    <cellStyle name="Protsent" xfId="1" builtinId="5"/>
    <cellStyle name="Protsent 2" xfId="6" xr:uid="{56187100-B403-47A7-B3B7-3149303A88C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5423-49AE-4E53-ABC3-0B14BA8FF529}">
  <dimension ref="A1:R92"/>
  <sheetViews>
    <sheetView tabSelected="1" topLeftCell="A61" zoomScaleNormal="100" workbookViewId="0">
      <selection activeCell="A89" sqref="A89"/>
    </sheetView>
  </sheetViews>
  <sheetFormatPr defaultRowHeight="15" x14ac:dyDescent="0.25"/>
  <cols>
    <col min="1" max="1" width="66" customWidth="1"/>
    <col min="2" max="3" width="11.28515625" customWidth="1"/>
    <col min="4" max="4" width="11" customWidth="1"/>
    <col min="5" max="5" width="11.5703125" customWidth="1"/>
    <col min="6" max="6" width="10.7109375" customWidth="1"/>
    <col min="7" max="7" width="11.85546875" customWidth="1"/>
    <col min="8" max="8" width="11.7109375" customWidth="1"/>
    <col min="9" max="9" width="11.28515625" customWidth="1"/>
    <col min="10" max="10" width="12.28515625" customWidth="1"/>
    <col min="11" max="11" width="12.5703125" customWidth="1"/>
    <col min="12" max="12" width="12.7109375" customWidth="1"/>
    <col min="13" max="13" width="12.28515625" customWidth="1"/>
    <col min="14" max="14" width="13" customWidth="1"/>
    <col min="15" max="15" width="12.7109375" customWidth="1"/>
    <col min="16" max="16" width="13" customWidth="1"/>
    <col min="17" max="17" width="11.28515625" customWidth="1"/>
    <col min="18" max="18" width="10.28515625" customWidth="1"/>
    <col min="19" max="19" width="11" customWidth="1"/>
  </cols>
  <sheetData>
    <row r="1" spans="1:18" x14ac:dyDescent="0.25">
      <c r="A1" s="50" t="s">
        <v>64</v>
      </c>
    </row>
    <row r="3" spans="1:18" x14ac:dyDescent="0.25">
      <c r="A3" s="42"/>
      <c r="B3" s="31">
        <v>2023</v>
      </c>
      <c r="C3" s="31">
        <f t="shared" ref="C3:P3" si="0">B3+1</f>
        <v>2024</v>
      </c>
      <c r="D3" s="31">
        <f t="shared" si="0"/>
        <v>2025</v>
      </c>
      <c r="E3" s="31">
        <f t="shared" si="0"/>
        <v>2026</v>
      </c>
      <c r="F3" s="31">
        <f t="shared" si="0"/>
        <v>2027</v>
      </c>
      <c r="G3" s="31">
        <f t="shared" si="0"/>
        <v>2028</v>
      </c>
      <c r="H3" s="31">
        <f t="shared" si="0"/>
        <v>2029</v>
      </c>
      <c r="I3" s="31">
        <f t="shared" si="0"/>
        <v>2030</v>
      </c>
      <c r="J3" s="31">
        <f t="shared" si="0"/>
        <v>2031</v>
      </c>
      <c r="K3" s="31">
        <f t="shared" si="0"/>
        <v>2032</v>
      </c>
      <c r="L3" s="31">
        <f t="shared" si="0"/>
        <v>2033</v>
      </c>
      <c r="M3" s="31">
        <f t="shared" si="0"/>
        <v>2034</v>
      </c>
      <c r="N3" s="31">
        <f t="shared" si="0"/>
        <v>2035</v>
      </c>
      <c r="O3" s="31">
        <f t="shared" si="0"/>
        <v>2036</v>
      </c>
      <c r="P3" s="31">
        <f t="shared" si="0"/>
        <v>2037</v>
      </c>
    </row>
    <row r="4" spans="1:18" ht="13.9" customHeight="1" x14ac:dyDescent="0.25">
      <c r="A4" s="19" t="s">
        <v>0</v>
      </c>
      <c r="B4" s="35">
        <v>9.1999999999999998E-2</v>
      </c>
      <c r="C4" s="35">
        <v>3.5000000000000003E-2</v>
      </c>
      <c r="D4" s="21">
        <v>5.1999999999999998E-2</v>
      </c>
      <c r="E4" s="21">
        <v>3.3000000000000002E-2</v>
      </c>
      <c r="F4" s="21">
        <v>2.4E-2</v>
      </c>
      <c r="G4" s="21">
        <v>2.1999999999999999E-2</v>
      </c>
      <c r="H4" s="21">
        <v>0.02</v>
      </c>
      <c r="I4" s="21">
        <v>0.02</v>
      </c>
      <c r="J4" s="21">
        <v>0.02</v>
      </c>
      <c r="K4" s="21">
        <v>0.02</v>
      </c>
      <c r="L4" s="21">
        <v>0.02</v>
      </c>
      <c r="M4" s="21">
        <v>0.02</v>
      </c>
      <c r="N4" s="21">
        <v>0.02</v>
      </c>
      <c r="O4" s="21">
        <v>0.02</v>
      </c>
      <c r="P4" s="21">
        <v>0.02</v>
      </c>
    </row>
    <row r="5" spans="1:18" ht="13.15" hidden="1" customHeight="1" x14ac:dyDescent="0.25">
      <c r="A5" s="19" t="s">
        <v>2</v>
      </c>
      <c r="B5" s="20">
        <f t="shared" ref="B5:P5" si="1">B4</f>
        <v>9.1999999999999998E-2</v>
      </c>
      <c r="C5" s="20">
        <f t="shared" si="1"/>
        <v>3.5000000000000003E-2</v>
      </c>
      <c r="D5" s="20">
        <f t="shared" si="1"/>
        <v>5.1999999999999998E-2</v>
      </c>
      <c r="E5" s="20">
        <f t="shared" si="1"/>
        <v>3.3000000000000002E-2</v>
      </c>
      <c r="F5" s="20">
        <f t="shared" si="1"/>
        <v>2.4E-2</v>
      </c>
      <c r="G5" s="20">
        <f t="shared" si="1"/>
        <v>2.1999999999999999E-2</v>
      </c>
      <c r="H5" s="20">
        <f t="shared" si="1"/>
        <v>0.02</v>
      </c>
      <c r="I5" s="20">
        <f t="shared" si="1"/>
        <v>0.02</v>
      </c>
      <c r="J5" s="20">
        <f t="shared" si="1"/>
        <v>0.02</v>
      </c>
      <c r="K5" s="20">
        <f t="shared" si="1"/>
        <v>0.02</v>
      </c>
      <c r="L5" s="20">
        <f t="shared" si="1"/>
        <v>0.02</v>
      </c>
      <c r="M5" s="20">
        <f t="shared" si="1"/>
        <v>0.02</v>
      </c>
      <c r="N5" s="20">
        <f t="shared" si="1"/>
        <v>0.02</v>
      </c>
      <c r="O5" s="20">
        <f t="shared" si="1"/>
        <v>0.02</v>
      </c>
      <c r="P5" s="20">
        <f t="shared" si="1"/>
        <v>0.02</v>
      </c>
    </row>
    <row r="6" spans="1:18" ht="6.6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3.6" customHeight="1" x14ac:dyDescent="0.2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4"/>
      <c r="M7" s="7"/>
      <c r="N7" s="7"/>
      <c r="O7" s="7"/>
    </row>
    <row r="8" spans="1:18" x14ac:dyDescent="0.25">
      <c r="A8" s="30" t="s">
        <v>13</v>
      </c>
      <c r="B8" s="27">
        <f>B16/B13</f>
        <v>0.2655499667489622</v>
      </c>
      <c r="C8" s="27">
        <f>C16/C13</f>
        <v>0.20454383287627495</v>
      </c>
      <c r="D8" s="27">
        <f>C8</f>
        <v>0.20454383287627495</v>
      </c>
      <c r="E8" s="27">
        <f t="shared" ref="E8:P8" si="2">D8*(1+E4)</f>
        <v>0.21129377936119201</v>
      </c>
      <c r="F8" s="27">
        <f t="shared" si="2"/>
        <v>0.21636483006586063</v>
      </c>
      <c r="G8" s="27">
        <f t="shared" si="2"/>
        <v>0.22112485632730958</v>
      </c>
      <c r="H8" s="27">
        <f t="shared" si="2"/>
        <v>0.22554735345385576</v>
      </c>
      <c r="I8" s="27">
        <f t="shared" si="2"/>
        <v>0.23005830052293288</v>
      </c>
      <c r="J8" s="27">
        <f t="shared" si="2"/>
        <v>0.23465946653339154</v>
      </c>
      <c r="K8" s="27">
        <f t="shared" si="2"/>
        <v>0.23935265586405938</v>
      </c>
      <c r="L8" s="27">
        <f t="shared" si="2"/>
        <v>0.24413970898134058</v>
      </c>
      <c r="M8" s="27">
        <f t="shared" si="2"/>
        <v>0.24902250316096738</v>
      </c>
      <c r="N8" s="27">
        <f t="shared" si="2"/>
        <v>0.25400295322418676</v>
      </c>
      <c r="O8" s="27">
        <f t="shared" si="2"/>
        <v>0.25908301228867048</v>
      </c>
      <c r="P8" s="27">
        <f t="shared" si="2"/>
        <v>0.26426467253444391</v>
      </c>
    </row>
    <row r="9" spans="1:18" x14ac:dyDescent="0.25">
      <c r="A9" s="30" t="s">
        <v>12</v>
      </c>
      <c r="B9" s="27">
        <f>B17/B14</f>
        <v>0.47966389708292356</v>
      </c>
      <c r="C9" s="27">
        <f>C17/C14</f>
        <v>0.36687759511582424</v>
      </c>
      <c r="D9" s="27">
        <f>C9</f>
        <v>0.36687759511582424</v>
      </c>
      <c r="E9" s="27">
        <f t="shared" ref="E9:P9" si="3">D9*(1+E4)</f>
        <v>0.3789845557546464</v>
      </c>
      <c r="F9" s="27">
        <f t="shared" si="3"/>
        <v>0.38808018509275793</v>
      </c>
      <c r="G9" s="27">
        <f t="shared" si="3"/>
        <v>0.39661794916479859</v>
      </c>
      <c r="H9" s="27">
        <f t="shared" si="3"/>
        <v>0.40455030814809456</v>
      </c>
      <c r="I9" s="27">
        <f t="shared" si="3"/>
        <v>0.41264131431105644</v>
      </c>
      <c r="J9" s="27">
        <f t="shared" si="3"/>
        <v>0.42089414059727759</v>
      </c>
      <c r="K9" s="27">
        <f t="shared" si="3"/>
        <v>0.42931202340922314</v>
      </c>
      <c r="L9" s="27">
        <f t="shared" si="3"/>
        <v>0.4378982638774076</v>
      </c>
      <c r="M9" s="27">
        <f t="shared" si="3"/>
        <v>0.44665622915495579</v>
      </c>
      <c r="N9" s="27">
        <f t="shared" si="3"/>
        <v>0.45558935373805493</v>
      </c>
      <c r="O9" s="27">
        <f t="shared" si="3"/>
        <v>0.46470114081281605</v>
      </c>
      <c r="P9" s="27">
        <f t="shared" si="3"/>
        <v>0.4739951636290724</v>
      </c>
    </row>
    <row r="10" spans="1:18" x14ac:dyDescent="0.25">
      <c r="A10" s="1" t="s">
        <v>1</v>
      </c>
      <c r="B10" s="27">
        <f>B18/B13</f>
        <v>8.0442316767085451E-2</v>
      </c>
      <c r="C10" s="27">
        <f>C18/C13</f>
        <v>8.1108319361970729E-2</v>
      </c>
      <c r="D10" s="27">
        <f t="shared" ref="D10" si="4">C10*(1+D4)</f>
        <v>8.5325951968793209E-2</v>
      </c>
      <c r="E10" s="2">
        <f t="shared" ref="E10" si="5">D10*(1+E4)</f>
        <v>8.8141708383763381E-2</v>
      </c>
      <c r="F10" s="2">
        <f t="shared" ref="F10" si="6">E10*(1+F4)</f>
        <v>9.0257109384973708E-2</v>
      </c>
      <c r="G10" s="2">
        <f t="shared" ref="G10" si="7">F10*(1+G4)</f>
        <v>9.2242765791443138E-2</v>
      </c>
      <c r="H10" s="2">
        <f t="shared" ref="H10" si="8">G10*(1+H4)</f>
        <v>9.4087621107272007E-2</v>
      </c>
      <c r="I10" s="2">
        <f t="shared" ref="I10:P10" si="9">H10*(1+I4)</f>
        <v>9.5969373529417451E-2</v>
      </c>
      <c r="J10" s="2">
        <f t="shared" si="9"/>
        <v>9.7888761000005806E-2</v>
      </c>
      <c r="K10" s="2">
        <f t="shared" si="9"/>
        <v>9.984653622000593E-2</v>
      </c>
      <c r="L10" s="2">
        <f t="shared" si="9"/>
        <v>0.10184346694440605</v>
      </c>
      <c r="M10" s="2">
        <f t="shared" si="9"/>
        <v>0.10388033628329417</v>
      </c>
      <c r="N10" s="2">
        <f t="shared" si="9"/>
        <v>0.10595794300896005</v>
      </c>
      <c r="O10" s="2">
        <f t="shared" si="9"/>
        <v>0.10807710186913926</v>
      </c>
      <c r="P10" s="2">
        <f t="shared" si="9"/>
        <v>0.11023864390652205</v>
      </c>
    </row>
    <row r="11" spans="1:18" x14ac:dyDescent="0.25">
      <c r="A11" s="1" t="s">
        <v>7</v>
      </c>
      <c r="B11" s="27">
        <f>B19/B14</f>
        <v>4.362053425106522E-2</v>
      </c>
      <c r="C11" s="27">
        <f>C19/C14</f>
        <v>3.9669777572857216E-2</v>
      </c>
      <c r="D11" s="27">
        <f t="shared" ref="D11:E11" si="10">C11*1.106</f>
        <v>4.3874773995580083E-2</v>
      </c>
      <c r="E11" s="2">
        <f t="shared" si="10"/>
        <v>4.8525500039111574E-2</v>
      </c>
      <c r="F11" s="2">
        <f>E11*1.106</f>
        <v>5.3669203043257403E-2</v>
      </c>
      <c r="G11" s="2">
        <f t="shared" ref="G11:P11" si="11">F11*(1+G4)</f>
        <v>5.484992551020907E-2</v>
      </c>
      <c r="H11" s="2">
        <f t="shared" si="11"/>
        <v>5.594692402041325E-2</v>
      </c>
      <c r="I11" s="2">
        <f t="shared" si="11"/>
        <v>5.7065862500821518E-2</v>
      </c>
      <c r="J11" s="2">
        <f t="shared" si="11"/>
        <v>5.8207179750837952E-2</v>
      </c>
      <c r="K11" s="2">
        <f t="shared" si="11"/>
        <v>5.937132334585471E-2</v>
      </c>
      <c r="L11" s="2">
        <f t="shared" si="11"/>
        <v>6.0558749812771803E-2</v>
      </c>
      <c r="M11" s="2">
        <f t="shared" si="11"/>
        <v>6.1769924809027238E-2</v>
      </c>
      <c r="N11" s="2">
        <f t="shared" si="11"/>
        <v>6.3005323305207778E-2</v>
      </c>
      <c r="O11" s="2">
        <f t="shared" si="11"/>
        <v>6.426542977131193E-2</v>
      </c>
      <c r="P11" s="2">
        <f t="shared" si="11"/>
        <v>6.5550738366738165E-2</v>
      </c>
    </row>
    <row r="12" spans="1:18" x14ac:dyDescent="0.25">
      <c r="A12" s="43" t="s">
        <v>3</v>
      </c>
      <c r="B12" s="24"/>
      <c r="C12" s="12"/>
      <c r="D12" s="12"/>
      <c r="E12" s="4"/>
      <c r="F12" s="4"/>
      <c r="G12" s="4"/>
      <c r="H12" s="4"/>
      <c r="I12" s="4"/>
      <c r="J12" s="4"/>
      <c r="K12" s="4"/>
      <c r="L12" s="4"/>
      <c r="M12" s="7"/>
      <c r="N12" s="7"/>
      <c r="O12" s="7"/>
      <c r="R12" s="23"/>
    </row>
    <row r="13" spans="1:18" x14ac:dyDescent="0.25">
      <c r="A13" s="30" t="s">
        <v>40</v>
      </c>
      <c r="B13" s="38">
        <v>159629.91266375544</v>
      </c>
      <c r="C13" s="38">
        <v>163386.44548728582</v>
      </c>
      <c r="D13" s="8">
        <v>163201.87775333499</v>
      </c>
      <c r="E13" s="8">
        <v>162570.41775988261</v>
      </c>
      <c r="F13" s="8">
        <v>161936.42827931402</v>
      </c>
      <c r="G13" s="8">
        <v>161296.27469804807</v>
      </c>
      <c r="H13" s="8">
        <v>160671.68711017273</v>
      </c>
      <c r="I13" s="8">
        <v>160088.1942181084</v>
      </c>
      <c r="J13" s="8">
        <v>159516.834146218</v>
      </c>
      <c r="K13" s="8">
        <v>158990.55655455045</v>
      </c>
      <c r="L13" s="8">
        <v>158480.27556319741</v>
      </c>
      <c r="M13" s="8">
        <v>157982.39711422045</v>
      </c>
      <c r="N13" s="8">
        <v>157511.71172715476</v>
      </c>
      <c r="O13" s="8">
        <v>157049.89798849856</v>
      </c>
      <c r="P13" s="8">
        <v>156589.5980455947</v>
      </c>
      <c r="Q13" s="23"/>
      <c r="R13" s="23"/>
    </row>
    <row r="14" spans="1:18" x14ac:dyDescent="0.25">
      <c r="A14" s="30" t="s">
        <v>26</v>
      </c>
      <c r="B14" s="38">
        <v>122040</v>
      </c>
      <c r="C14" s="38">
        <v>125794</v>
      </c>
      <c r="D14" s="8">
        <v>125853.61552806347</v>
      </c>
      <c r="E14" s="8">
        <v>125529.59787635937</v>
      </c>
      <c r="F14" s="8">
        <v>125202.96687077329</v>
      </c>
      <c r="G14" s="8">
        <v>124871.11556741309</v>
      </c>
      <c r="H14" s="8">
        <v>124549.6054697731</v>
      </c>
      <c r="I14" s="8">
        <v>124256.7744573422</v>
      </c>
      <c r="J14" s="8">
        <v>123971.88582598811</v>
      </c>
      <c r="K14" s="8">
        <v>123718.64810417112</v>
      </c>
      <c r="L14" s="8">
        <v>123476.19647204663</v>
      </c>
      <c r="M14" s="8">
        <v>123241.96588601352</v>
      </c>
      <c r="N14" s="8">
        <v>123026.64454423472</v>
      </c>
      <c r="O14" s="8">
        <v>122817.04446315984</v>
      </c>
      <c r="P14" s="8">
        <v>122607.86019107467</v>
      </c>
    </row>
    <row r="15" spans="1:18" x14ac:dyDescent="0.25">
      <c r="A15" s="3" t="s">
        <v>4</v>
      </c>
      <c r="B15" s="36"/>
      <c r="C15" s="12"/>
      <c r="D15" s="12"/>
      <c r="E15" s="4"/>
      <c r="F15" s="4"/>
      <c r="G15" s="4"/>
      <c r="H15" s="4"/>
      <c r="I15" s="4"/>
      <c r="J15" s="4"/>
      <c r="K15" s="4"/>
      <c r="L15" s="4"/>
      <c r="M15" s="7"/>
      <c r="N15" s="7"/>
      <c r="O15" s="7"/>
    </row>
    <row r="16" spans="1:18" x14ac:dyDescent="0.25">
      <c r="A16" s="30" t="s">
        <v>13</v>
      </c>
      <c r="B16" s="38">
        <f>0.42*100927.9</f>
        <v>42389.717999999993</v>
      </c>
      <c r="C16" s="38">
        <f>0.42*79570.69</f>
        <v>33419.6898</v>
      </c>
      <c r="D16" s="8">
        <f t="shared" ref="D16" si="12">D8*D13</f>
        <v>33381.937608272405</v>
      </c>
      <c r="E16" s="8">
        <f t="shared" ref="E16:N16" si="13">E8*E13</f>
        <v>34350.117980813448</v>
      </c>
      <c r="F16" s="8">
        <f t="shared" si="13"/>
        <v>35037.347786126207</v>
      </c>
      <c r="G16" s="8">
        <f t="shared" si="13"/>
        <v>35666.615568736139</v>
      </c>
      <c r="H16" s="8">
        <f t="shared" si="13"/>
        <v>36239.073802665451</v>
      </c>
      <c r="I16" s="8">
        <f t="shared" si="13"/>
        <v>36829.617895603231</v>
      </c>
      <c r="J16" s="8">
        <f t="shared" si="13"/>
        <v>37432.135203847007</v>
      </c>
      <c r="K16" s="8">
        <f t="shared" si="13"/>
        <v>38054.811968636583</v>
      </c>
      <c r="L16" s="8">
        <f t="shared" si="13"/>
        <v>38691.328355281679</v>
      </c>
      <c r="M16" s="8">
        <f t="shared" si="13"/>
        <v>39341.171984753164</v>
      </c>
      <c r="N16" s="8">
        <f t="shared" si="13"/>
        <v>40008.439946094077</v>
      </c>
      <c r="O16" s="8">
        <f t="shared" ref="O16" si="14">O8*O13</f>
        <v>40688.960650488618</v>
      </c>
      <c r="P16" s="8">
        <f t="shared" ref="P16" si="15">P8*P13</f>
        <v>41381.098849819282</v>
      </c>
    </row>
    <row r="17" spans="1:18" x14ac:dyDescent="0.25">
      <c r="A17" s="30" t="s">
        <v>12</v>
      </c>
      <c r="B17" s="38">
        <f>0.58*100927.9</f>
        <v>58538.181999999993</v>
      </c>
      <c r="C17" s="38">
        <f>0.58*79570.69</f>
        <v>46151.000199999995</v>
      </c>
      <c r="D17" s="8">
        <f t="shared" ref="D17" si="16">D9*D14</f>
        <v>46172.871801567482</v>
      </c>
      <c r="E17" s="8">
        <f t="shared" ref="E17:N17" si="17">E9*E14</f>
        <v>47573.778885231462</v>
      </c>
      <c r="F17" s="8">
        <f t="shared" si="17"/>
        <v>48588.790557372136</v>
      </c>
      <c r="G17" s="8">
        <f t="shared" si="17"/>
        <v>49526.125766267935</v>
      </c>
      <c r="H17" s="8">
        <f t="shared" si="17"/>
        <v>50386.581272520314</v>
      </c>
      <c r="I17" s="8">
        <f t="shared" si="17"/>
        <v>51273.478724130189</v>
      </c>
      <c r="J17" s="8">
        <f t="shared" si="17"/>
        <v>52179.040342953085</v>
      </c>
      <c r="K17" s="8">
        <f t="shared" si="17"/>
        <v>53113.903151055354</v>
      </c>
      <c r="L17" s="8">
        <f t="shared" si="17"/>
        <v>54070.012065294904</v>
      </c>
      <c r="M17" s="8">
        <f t="shared" si="17"/>
        <v>55046.791756290499</v>
      </c>
      <c r="N17" s="8">
        <f t="shared" si="17"/>
        <v>56049.629480469295</v>
      </c>
      <c r="O17" s="8">
        <f t="shared" ref="O17" si="18">O9*O14</f>
        <v>57073.220673288728</v>
      </c>
      <c r="P17" s="8">
        <f t="shared" ref="P17" si="19">P9*P14</f>
        <v>58115.532753478867</v>
      </c>
      <c r="R17" s="15"/>
    </row>
    <row r="18" spans="1:18" x14ac:dyDescent="0.25">
      <c r="A18" s="1" t="s">
        <v>1</v>
      </c>
      <c r="B18" s="38">
        <v>12841</v>
      </c>
      <c r="C18" s="38">
        <v>13252</v>
      </c>
      <c r="D18" s="8">
        <f t="shared" ref="D18:N18" si="20">D13*D10</f>
        <v>13925.355582397922</v>
      </c>
      <c r="E18" s="14">
        <f t="shared" si="20"/>
        <v>14329.234354018159</v>
      </c>
      <c r="F18" s="14">
        <f t="shared" si="20"/>
        <v>14615.913920617995</v>
      </c>
      <c r="G18" s="14">
        <f t="shared" si="20"/>
        <v>14878.414490004325</v>
      </c>
      <c r="H18" s="14">
        <f t="shared" si="20"/>
        <v>15117.216819488091</v>
      </c>
      <c r="I18" s="14">
        <f t="shared" si="20"/>
        <v>15363.563708567572</v>
      </c>
      <c r="J18" s="14">
        <f t="shared" si="20"/>
        <v>15614.905253216699</v>
      </c>
      <c r="K18" s="14">
        <f t="shared" si="20"/>
        <v>15874.656363662823</v>
      </c>
      <c r="L18" s="14">
        <f t="shared" si="20"/>
        <v>16140.180705660858</v>
      </c>
      <c r="M18" s="14">
        <f t="shared" si="20"/>
        <v>16411.264539066142</v>
      </c>
      <c r="N18" s="14">
        <f t="shared" si="20"/>
        <v>16689.616974429609</v>
      </c>
      <c r="O18" s="14">
        <f t="shared" ref="O18" si="21">O13*O10</f>
        <v>16973.497823440888</v>
      </c>
      <c r="P18" s="14">
        <f t="shared" ref="P18" si="22">P13*P10</f>
        <v>17262.224938413736</v>
      </c>
    </row>
    <row r="19" spans="1:18" x14ac:dyDescent="0.25">
      <c r="A19" s="1" t="s">
        <v>7</v>
      </c>
      <c r="B19" s="38">
        <v>5323.45</v>
      </c>
      <c r="C19" s="38">
        <v>4990.22</v>
      </c>
      <c r="D19" s="8">
        <f t="shared" ref="D19:N19" si="23">D11*D14</f>
        <v>5521.7989378204129</v>
      </c>
      <c r="E19" s="14">
        <f t="shared" si="23"/>
        <v>6091.3865066589369</v>
      </c>
      <c r="F19" s="14">
        <f t="shared" si="23"/>
        <v>6719.5434506057618</v>
      </c>
      <c r="G19" s="14">
        <f t="shared" si="23"/>
        <v>6849.1713872493156</v>
      </c>
      <c r="H19" s="14">
        <f t="shared" si="23"/>
        <v>6968.1673139898421</v>
      </c>
      <c r="I19" s="14">
        <f t="shared" si="23"/>
        <v>7090.8200059782812</v>
      </c>
      <c r="J19" s="14">
        <f t="shared" si="23"/>
        <v>7216.0538423236494</v>
      </c>
      <c r="K19" s="14">
        <f t="shared" si="23"/>
        <v>7345.3398605047587</v>
      </c>
      <c r="L19" s="14">
        <f t="shared" si="23"/>
        <v>7477.5640899833288</v>
      </c>
      <c r="M19" s="14">
        <f t="shared" si="23"/>
        <v>7612.6469660957555</v>
      </c>
      <c r="N19" s="14">
        <f t="shared" si="23"/>
        <v>7751.3335146643849</v>
      </c>
      <c r="O19" s="14">
        <f t="shared" ref="O19" si="24">O11*O14</f>
        <v>7892.8901456672929</v>
      </c>
      <c r="P19" s="14">
        <f t="shared" ref="P19" si="25">P11*P14</f>
        <v>8037.0357650907472</v>
      </c>
    </row>
    <row r="20" spans="1:18" x14ac:dyDescent="0.25">
      <c r="A20" s="3" t="s">
        <v>5</v>
      </c>
      <c r="B20" s="2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7"/>
    </row>
    <row r="21" spans="1:18" x14ac:dyDescent="0.25">
      <c r="A21" s="1" t="s">
        <v>6</v>
      </c>
      <c r="B21" s="38">
        <v>246300.9</v>
      </c>
      <c r="C21" s="38">
        <v>255093.4</v>
      </c>
      <c r="D21" s="14">
        <f t="shared" ref="D21:P21" si="26">C21*(1+D5)</f>
        <v>268358.25680000003</v>
      </c>
      <c r="E21" s="14">
        <f t="shared" si="26"/>
        <v>277214.07927440002</v>
      </c>
      <c r="F21" s="14">
        <f t="shared" si="26"/>
        <v>283867.21717698564</v>
      </c>
      <c r="G21" s="14">
        <f t="shared" si="26"/>
        <v>290112.29595487932</v>
      </c>
      <c r="H21" s="14">
        <f t="shared" si="26"/>
        <v>295914.54187397688</v>
      </c>
      <c r="I21" s="14">
        <f t="shared" si="26"/>
        <v>301832.8327114564</v>
      </c>
      <c r="J21" s="14">
        <f t="shared" si="26"/>
        <v>307869.48936568556</v>
      </c>
      <c r="K21" s="14">
        <f t="shared" si="26"/>
        <v>314026.87915299926</v>
      </c>
      <c r="L21" s="14">
        <f t="shared" si="26"/>
        <v>320307.41673605924</v>
      </c>
      <c r="M21" s="14">
        <f t="shared" si="26"/>
        <v>326713.5650707804</v>
      </c>
      <c r="N21" s="14">
        <f>M21*(1+N5)</f>
        <v>333247.83637219603</v>
      </c>
      <c r="O21" s="14">
        <f>N21*(1+O5)</f>
        <v>339912.79309963994</v>
      </c>
      <c r="P21" s="14">
        <f t="shared" si="26"/>
        <v>346711.04896163277</v>
      </c>
    </row>
    <row r="22" spans="1:18" x14ac:dyDescent="0.25">
      <c r="A22" s="1" t="s">
        <v>29</v>
      </c>
      <c r="B22" s="38">
        <f>62864.79*0.42</f>
        <v>26403.211800000001</v>
      </c>
      <c r="C22" s="38">
        <f>64037.6*0.42</f>
        <v>26895.791999999998</v>
      </c>
      <c r="D22" s="14">
        <f t="shared" ref="D22:N22" si="27">C22*(1+D4)</f>
        <v>28294.373184</v>
      </c>
      <c r="E22" s="14">
        <f t="shared" si="27"/>
        <v>29228.087499071997</v>
      </c>
      <c r="F22" s="14">
        <f t="shared" si="27"/>
        <v>29929.561599049724</v>
      </c>
      <c r="G22" s="14">
        <f t="shared" si="27"/>
        <v>30588.011954228819</v>
      </c>
      <c r="H22" s="14">
        <f t="shared" si="27"/>
        <v>31199.772193313398</v>
      </c>
      <c r="I22" s="14">
        <f t="shared" si="27"/>
        <v>31823.767637179666</v>
      </c>
      <c r="J22" s="14">
        <f t="shared" si="27"/>
        <v>32460.242989923259</v>
      </c>
      <c r="K22" s="14">
        <f t="shared" si="27"/>
        <v>33109.447849721728</v>
      </c>
      <c r="L22" s="14">
        <f t="shared" si="27"/>
        <v>33771.63680671616</v>
      </c>
      <c r="M22" s="14">
        <f t="shared" si="27"/>
        <v>34447.069542850484</v>
      </c>
      <c r="N22" s="14">
        <f t="shared" si="27"/>
        <v>35136.010933707497</v>
      </c>
      <c r="O22" s="14">
        <f>N22*(1+O4)</f>
        <v>35838.731152381646</v>
      </c>
      <c r="P22" s="14">
        <f>O22*(1+P4)</f>
        <v>36555.505775429279</v>
      </c>
    </row>
    <row r="23" spans="1:18" x14ac:dyDescent="0.25">
      <c r="A23" s="1" t="s">
        <v>30</v>
      </c>
      <c r="B23" s="38">
        <f>62864.79*0.58</f>
        <v>36461.578199999996</v>
      </c>
      <c r="C23" s="38">
        <f>64037.6*0.58</f>
        <v>37141.807999999997</v>
      </c>
      <c r="D23" s="14">
        <f>C23*(1+D4)</f>
        <v>39073.182015999999</v>
      </c>
      <c r="E23" s="14">
        <f>D23*(1+E4)</f>
        <v>40362.597022527996</v>
      </c>
      <c r="F23" s="14">
        <f>E23*(1+F4)</f>
        <v>41331.299351068672</v>
      </c>
      <c r="G23" s="14">
        <f>F23*(1+G4)</f>
        <v>42240.587936792181</v>
      </c>
      <c r="H23" s="14">
        <f>G23*(1+H5)</f>
        <v>43085.399695528024</v>
      </c>
      <c r="I23" s="14">
        <f t="shared" ref="I23:P23" si="28">H23*(1+I4)</f>
        <v>43947.107689438584</v>
      </c>
      <c r="J23" s="14">
        <f t="shared" si="28"/>
        <v>44826.04984322736</v>
      </c>
      <c r="K23" s="14">
        <f t="shared" si="28"/>
        <v>45722.57084009191</v>
      </c>
      <c r="L23" s="14">
        <f t="shared" si="28"/>
        <v>46637.022256893746</v>
      </c>
      <c r="M23" s="14">
        <f t="shared" si="28"/>
        <v>47569.762702031621</v>
      </c>
      <c r="N23" s="14">
        <f>M23*(1+N4)</f>
        <v>48521.157956072253</v>
      </c>
      <c r="O23" s="14">
        <f>N23*(1+O4)</f>
        <v>49491.581115193701</v>
      </c>
      <c r="P23" s="14">
        <f t="shared" si="28"/>
        <v>50481.41273749758</v>
      </c>
    </row>
    <row r="24" spans="1:18" x14ac:dyDescent="0.25">
      <c r="A24" s="1" t="s">
        <v>57</v>
      </c>
      <c r="B24" s="38">
        <v>15685.77</v>
      </c>
      <c r="C24" s="38">
        <v>12193.07</v>
      </c>
      <c r="D24" s="14">
        <f t="shared" ref="D24:P24" si="29">C24*(1+D4)</f>
        <v>12827.109640000001</v>
      </c>
      <c r="E24" s="14">
        <f t="shared" si="29"/>
        <v>13250.404258119999</v>
      </c>
      <c r="F24" s="14">
        <f t="shared" si="29"/>
        <v>13568.41396031488</v>
      </c>
      <c r="G24" s="14">
        <f t="shared" si="29"/>
        <v>13866.919067441808</v>
      </c>
      <c r="H24" s="14">
        <f t="shared" si="29"/>
        <v>14144.257448790644</v>
      </c>
      <c r="I24" s="14">
        <f t="shared" si="29"/>
        <v>14427.142597766457</v>
      </c>
      <c r="J24" s="14">
        <f t="shared" si="29"/>
        <v>14715.685449721786</v>
      </c>
      <c r="K24" s="14">
        <f t="shared" si="29"/>
        <v>15009.999158716222</v>
      </c>
      <c r="L24" s="14">
        <f t="shared" si="29"/>
        <v>15310.199141890547</v>
      </c>
      <c r="M24" s="14">
        <f t="shared" si="29"/>
        <v>15616.403124728358</v>
      </c>
      <c r="N24" s="14">
        <f t="shared" si="29"/>
        <v>15928.731187222926</v>
      </c>
      <c r="O24" s="14">
        <f t="shared" si="29"/>
        <v>16247.305810967384</v>
      </c>
      <c r="P24" s="14">
        <f t="shared" si="29"/>
        <v>16572.251927186731</v>
      </c>
    </row>
    <row r="25" spans="1:18" x14ac:dyDescent="0.25">
      <c r="A25" s="1" t="s">
        <v>28</v>
      </c>
      <c r="B25" s="38">
        <v>36940.720000000001</v>
      </c>
      <c r="C25" s="38">
        <v>63517.49</v>
      </c>
      <c r="D25" s="14">
        <f t="shared" ref="D25:P25" si="30">C25*(1+D4)</f>
        <v>66820.399480000007</v>
      </c>
      <c r="E25" s="14">
        <f t="shared" si="30"/>
        <v>69025.472662839995</v>
      </c>
      <c r="F25" s="14">
        <f t="shared" si="30"/>
        <v>70682.084006748162</v>
      </c>
      <c r="G25" s="14">
        <f t="shared" si="30"/>
        <v>72237.089854896622</v>
      </c>
      <c r="H25" s="14">
        <f t="shared" si="30"/>
        <v>73681.831651994551</v>
      </c>
      <c r="I25" s="14">
        <f t="shared" si="30"/>
        <v>75155.46828503444</v>
      </c>
      <c r="J25" s="14">
        <f t="shared" si="30"/>
        <v>76658.577650735126</v>
      </c>
      <c r="K25" s="14">
        <f t="shared" si="30"/>
        <v>78191.74920374983</v>
      </c>
      <c r="L25" s="14">
        <f t="shared" si="30"/>
        <v>79755.584187824832</v>
      </c>
      <c r="M25" s="14">
        <f t="shared" si="30"/>
        <v>81350.695871581323</v>
      </c>
      <c r="N25" s="14">
        <f t="shared" si="30"/>
        <v>82977.709789012952</v>
      </c>
      <c r="O25" s="14">
        <f t="shared" si="30"/>
        <v>84637.263984793215</v>
      </c>
      <c r="P25" s="14">
        <f t="shared" si="30"/>
        <v>86330.009264489083</v>
      </c>
    </row>
    <row r="26" spans="1:18" x14ac:dyDescent="0.25">
      <c r="A26" s="30" t="s">
        <v>14</v>
      </c>
      <c r="B26" s="38">
        <v>10783.83</v>
      </c>
      <c r="C26" s="38">
        <v>5888.06</v>
      </c>
      <c r="D26" s="8">
        <f t="shared" ref="D26:P26" si="31">C26*(1+D4)</f>
        <v>6194.2391200000011</v>
      </c>
      <c r="E26" s="8">
        <f t="shared" si="31"/>
        <v>6398.6490109600009</v>
      </c>
      <c r="F26" s="8">
        <f t="shared" si="31"/>
        <v>6552.2165872230407</v>
      </c>
      <c r="G26" s="8">
        <f t="shared" si="31"/>
        <v>6696.3653521419474</v>
      </c>
      <c r="H26" s="8">
        <f t="shared" si="31"/>
        <v>6830.2926591847863</v>
      </c>
      <c r="I26" s="8">
        <f t="shared" si="31"/>
        <v>6966.8985123684824</v>
      </c>
      <c r="J26" s="8">
        <f t="shared" si="31"/>
        <v>7106.2364826158519</v>
      </c>
      <c r="K26" s="8">
        <f t="shared" si="31"/>
        <v>7248.3612122681689</v>
      </c>
      <c r="L26" s="8">
        <f t="shared" si="31"/>
        <v>7393.3284365135323</v>
      </c>
      <c r="M26" s="8">
        <f t="shared" si="31"/>
        <v>7541.1950052438033</v>
      </c>
      <c r="N26" s="8">
        <f t="shared" si="31"/>
        <v>7692.0189053486793</v>
      </c>
      <c r="O26" s="8">
        <f t="shared" si="31"/>
        <v>7845.859283455653</v>
      </c>
      <c r="P26" s="8">
        <f t="shared" si="31"/>
        <v>8002.7764691247658</v>
      </c>
    </row>
    <row r="27" spans="1:18" ht="8.25" customHeight="1" x14ac:dyDescent="0.25">
      <c r="A27" s="6"/>
      <c r="B27" s="24"/>
      <c r="C27" s="4"/>
      <c r="D27" s="4"/>
      <c r="E27" s="4"/>
      <c r="F27" s="4"/>
      <c r="G27" s="4"/>
      <c r="H27" s="4"/>
      <c r="I27" s="4"/>
      <c r="J27" s="4"/>
      <c r="K27" s="4"/>
      <c r="L27" s="4"/>
      <c r="M27" s="7"/>
      <c r="N27" s="7"/>
      <c r="O27" s="7"/>
      <c r="P27" s="7"/>
    </row>
    <row r="28" spans="1:18" x14ac:dyDescent="0.25">
      <c r="A28" s="37" t="s">
        <v>41</v>
      </c>
      <c r="B28" s="38">
        <f t="shared" ref="B28:P28" si="32">SUM(B16:B19)+SUM(B21:B26)</f>
        <v>491668.36000000004</v>
      </c>
      <c r="C28" s="38">
        <f t="shared" si="32"/>
        <v>498542.53</v>
      </c>
      <c r="D28" s="38">
        <f t="shared" si="32"/>
        <v>520569.52417005826</v>
      </c>
      <c r="E28" s="38">
        <f t="shared" si="32"/>
        <v>537823.80745464202</v>
      </c>
      <c r="F28" s="38">
        <f t="shared" si="32"/>
        <v>550892.38839611225</v>
      </c>
      <c r="G28" s="38">
        <f t="shared" si="32"/>
        <v>562661.59733263846</v>
      </c>
      <c r="H28" s="38">
        <f t="shared" si="32"/>
        <v>573567.13473145198</v>
      </c>
      <c r="I28" s="38">
        <f t="shared" si="32"/>
        <v>584710.69776752335</v>
      </c>
      <c r="J28" s="38">
        <f t="shared" si="32"/>
        <v>596078.41642424942</v>
      </c>
      <c r="K28" s="38">
        <f t="shared" si="32"/>
        <v>607697.71876140661</v>
      </c>
      <c r="L28" s="38">
        <f t="shared" si="32"/>
        <v>619554.27278211876</v>
      </c>
      <c r="M28" s="38">
        <f t="shared" si="32"/>
        <v>631650.56656342163</v>
      </c>
      <c r="N28" s="38">
        <f t="shared" si="32"/>
        <v>644002.48505921778</v>
      </c>
      <c r="O28" s="38">
        <f t="shared" si="32"/>
        <v>656602.10373931704</v>
      </c>
      <c r="P28" s="38">
        <f t="shared" si="32"/>
        <v>669448.89744216285</v>
      </c>
      <c r="R28" s="15"/>
    </row>
    <row r="29" spans="1:18" x14ac:dyDescent="0.25">
      <c r="A29" s="7"/>
      <c r="B29" s="4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8" x14ac:dyDescent="0.25">
      <c r="A30" s="37" t="s">
        <v>31</v>
      </c>
      <c r="B30" s="8">
        <v>86285</v>
      </c>
      <c r="C30" s="8">
        <v>86465</v>
      </c>
      <c r="D30" s="8">
        <v>86465</v>
      </c>
      <c r="E30" s="8">
        <v>100215</v>
      </c>
      <c r="F30" s="8">
        <v>113965</v>
      </c>
      <c r="G30" s="8">
        <v>127715</v>
      </c>
      <c r="H30" s="8">
        <v>141465</v>
      </c>
      <c r="I30" s="8">
        <v>155215</v>
      </c>
      <c r="J30" s="8">
        <v>168965</v>
      </c>
      <c r="K30" s="8">
        <v>182715</v>
      </c>
      <c r="L30" s="8">
        <v>196465</v>
      </c>
      <c r="M30" s="8">
        <v>210215</v>
      </c>
      <c r="N30" s="8">
        <v>223965</v>
      </c>
      <c r="O30" s="8">
        <v>237715</v>
      </c>
      <c r="P30" s="8">
        <v>251465</v>
      </c>
    </row>
    <row r="31" spans="1:18" x14ac:dyDescent="0.25">
      <c r="A31" s="30" t="s">
        <v>33</v>
      </c>
      <c r="B31" s="8">
        <v>2924095</v>
      </c>
      <c r="C31" s="8">
        <v>2880862.5</v>
      </c>
      <c r="D31" s="8">
        <v>3344397.5</v>
      </c>
      <c r="E31" s="8">
        <v>3794182.5</v>
      </c>
      <c r="F31" s="8">
        <v>4230561.25</v>
      </c>
      <c r="G31" s="8">
        <v>4653868.90625</v>
      </c>
      <c r="H31" s="8">
        <v>5064432.24609375</v>
      </c>
      <c r="I31" s="8">
        <v>5462569.8774414063</v>
      </c>
      <c r="J31" s="8">
        <v>5848592.4430053709</v>
      </c>
      <c r="K31" s="8">
        <v>6222802.8194302367</v>
      </c>
      <c r="L31" s="8">
        <v>6585496.3114444809</v>
      </c>
      <c r="M31" s="8">
        <v>6936960.8411583686</v>
      </c>
      <c r="N31" s="8">
        <v>7277477.1326294094</v>
      </c>
      <c r="O31" s="8">
        <v>7607318.891813674</v>
      </c>
      <c r="P31" s="8">
        <v>7926752.982018332</v>
      </c>
    </row>
    <row r="32" spans="1:18" x14ac:dyDescent="0.25">
      <c r="A32" s="30" t="s">
        <v>42</v>
      </c>
      <c r="B32" s="8">
        <f>(427.65+429.02+446.589)*1000/3*0.05</f>
        <v>21720.983333333337</v>
      </c>
      <c r="C32" s="8">
        <f>(429.02+446.589+B60/1000)*1000/3*0.05</f>
        <v>23809.775421166669</v>
      </c>
      <c r="D32" s="8">
        <f>(446.589+(B48+B50)/1000+(C48+C50)/1000)*1000/3*0.05</f>
        <v>26864.77484316667</v>
      </c>
      <c r="E32" s="8">
        <f>(B48+B50+C48+C50+D48+D50)/3*0.05</f>
        <v>28888.066319710211</v>
      </c>
      <c r="F32" s="8">
        <f t="shared" ref="F32:P32" si="33">(C48+C50+D48+D50+E48+E50)/3*0.05</f>
        <v>29359.151458112057</v>
      </c>
      <c r="G32" s="8">
        <f t="shared" si="33"/>
        <v>28811.96694790624</v>
      </c>
      <c r="H32" s="8">
        <f t="shared" si="33"/>
        <v>30537.689124026128</v>
      </c>
      <c r="I32" s="8">
        <f t="shared" si="33"/>
        <v>32608.570187707672</v>
      </c>
      <c r="J32" s="8">
        <f t="shared" si="33"/>
        <v>35268.707634988314</v>
      </c>
      <c r="K32" s="8">
        <f t="shared" si="33"/>
        <v>36976.046604176001</v>
      </c>
      <c r="L32" s="8">
        <f t="shared" si="33"/>
        <v>38665.801135153648</v>
      </c>
      <c r="M32" s="8">
        <f t="shared" si="33"/>
        <v>40338.567951526493</v>
      </c>
      <c r="N32" s="8">
        <f t="shared" si="33"/>
        <v>41967.944719399216</v>
      </c>
      <c r="O32" s="8">
        <f t="shared" si="33"/>
        <v>43581.777130970149</v>
      </c>
      <c r="P32" s="8">
        <f t="shared" si="33"/>
        <v>45208.023305167218</v>
      </c>
    </row>
    <row r="33" spans="1:16" x14ac:dyDescent="0.25">
      <c r="A33" s="37" t="s">
        <v>32</v>
      </c>
      <c r="B33" s="38">
        <f>0.0628*(B31+B32)</f>
        <v>184997.24375333331</v>
      </c>
      <c r="C33" s="38">
        <f>0.0628*(C31+C32)</f>
        <v>182413.41889644926</v>
      </c>
      <c r="D33" s="38">
        <f>0.0628*(D31+D32)</f>
        <v>211715.27086015083</v>
      </c>
      <c r="E33" s="38">
        <f>0.0628*E31</f>
        <v>238274.66099999999</v>
      </c>
      <c r="F33" s="38">
        <f t="shared" ref="F33:O33" si="34">0.0628*F31</f>
        <v>265679.24649999995</v>
      </c>
      <c r="G33" s="38">
        <f>0.0628*G31</f>
        <v>292262.9673125</v>
      </c>
      <c r="H33" s="38">
        <f t="shared" si="34"/>
        <v>318046.34505468747</v>
      </c>
      <c r="I33" s="38">
        <f t="shared" si="34"/>
        <v>343049.38830332027</v>
      </c>
      <c r="J33" s="38">
        <f t="shared" si="34"/>
        <v>367291.60542073724</v>
      </c>
      <c r="K33" s="38">
        <f t="shared" si="34"/>
        <v>390792.01706021884</v>
      </c>
      <c r="L33" s="38">
        <f t="shared" si="34"/>
        <v>413569.16835871339</v>
      </c>
      <c r="M33" s="38">
        <f t="shared" si="34"/>
        <v>435641.14082474553</v>
      </c>
      <c r="N33" s="38">
        <f t="shared" si="34"/>
        <v>457025.56392912689</v>
      </c>
      <c r="O33" s="38">
        <f t="shared" si="34"/>
        <v>477739.62640589871</v>
      </c>
      <c r="P33" s="38">
        <f t="shared" ref="P33" si="35">0.0628*P31</f>
        <v>497800.08727075119</v>
      </c>
    </row>
    <row r="34" spans="1:16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x14ac:dyDescent="0.25">
      <c r="A35" s="37" t="s">
        <v>50</v>
      </c>
      <c r="B35" s="38">
        <f>B28+B30+B33</f>
        <v>762950.60375333345</v>
      </c>
      <c r="C35" s="38">
        <f>C28+C30+C33</f>
        <v>767420.94889644929</v>
      </c>
      <c r="D35" s="38">
        <f t="shared" ref="D35:O35" si="36">D28+D30+D33</f>
        <v>818749.79503020912</v>
      </c>
      <c r="E35" s="38">
        <f t="shared" si="36"/>
        <v>876313.46845464199</v>
      </c>
      <c r="F35" s="38">
        <f t="shared" si="36"/>
        <v>930536.63489611214</v>
      </c>
      <c r="G35" s="38">
        <f t="shared" si="36"/>
        <v>982639.56464513845</v>
      </c>
      <c r="H35" s="38">
        <f t="shared" si="36"/>
        <v>1033078.4797861394</v>
      </c>
      <c r="I35" s="38">
        <f t="shared" si="36"/>
        <v>1082975.0860708435</v>
      </c>
      <c r="J35" s="38">
        <f t="shared" si="36"/>
        <v>1132335.0218449866</v>
      </c>
      <c r="K35" s="38">
        <f t="shared" si="36"/>
        <v>1181204.7358216255</v>
      </c>
      <c r="L35" s="38">
        <f t="shared" si="36"/>
        <v>1229588.4411408321</v>
      </c>
      <c r="M35" s="38">
        <f t="shared" si="36"/>
        <v>1277506.7073881673</v>
      </c>
      <c r="N35" s="38">
        <f t="shared" si="36"/>
        <v>1324993.0489883446</v>
      </c>
      <c r="O35" s="38">
        <f t="shared" si="36"/>
        <v>1372056.7301452158</v>
      </c>
      <c r="P35" s="38">
        <f t="shared" ref="P35" si="37">P28+P30+P33</f>
        <v>1418713.9847129141</v>
      </c>
    </row>
    <row r="36" spans="1:1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6" x14ac:dyDescent="0.25">
      <c r="A37" s="10" t="s">
        <v>39</v>
      </c>
      <c r="B37" s="17">
        <v>2023</v>
      </c>
      <c r="C37" s="17">
        <f t="shared" ref="C37:P37" si="38">B37+1</f>
        <v>2024</v>
      </c>
      <c r="D37" s="17">
        <f t="shared" si="38"/>
        <v>2025</v>
      </c>
      <c r="E37" s="17">
        <f t="shared" si="38"/>
        <v>2026</v>
      </c>
      <c r="F37" s="17">
        <f t="shared" si="38"/>
        <v>2027</v>
      </c>
      <c r="G37" s="17">
        <f t="shared" si="38"/>
        <v>2028</v>
      </c>
      <c r="H37" s="17">
        <f t="shared" si="38"/>
        <v>2029</v>
      </c>
      <c r="I37" s="17">
        <f t="shared" si="38"/>
        <v>2030</v>
      </c>
      <c r="J37" s="17">
        <f t="shared" si="38"/>
        <v>2031</v>
      </c>
      <c r="K37" s="17">
        <f t="shared" si="38"/>
        <v>2032</v>
      </c>
      <c r="L37" s="17">
        <f t="shared" si="38"/>
        <v>2033</v>
      </c>
      <c r="M37" s="17">
        <f t="shared" si="38"/>
        <v>2034</v>
      </c>
      <c r="N37" s="17">
        <f t="shared" si="38"/>
        <v>2035</v>
      </c>
      <c r="O37" s="17">
        <f t="shared" si="38"/>
        <v>2036</v>
      </c>
      <c r="P37" s="17">
        <f t="shared" si="38"/>
        <v>2037</v>
      </c>
    </row>
    <row r="38" spans="1:16" x14ac:dyDescent="0.25">
      <c r="A38" s="37" t="s">
        <v>8</v>
      </c>
      <c r="B38" s="38">
        <v>146221</v>
      </c>
      <c r="C38" s="38">
        <v>149711</v>
      </c>
      <c r="D38" s="8">
        <v>149541.88058538086</v>
      </c>
      <c r="E38" s="8">
        <v>148963.27379338045</v>
      </c>
      <c r="F38" s="8">
        <v>148382.34923233543</v>
      </c>
      <c r="G38" s="8">
        <v>147795.77650582144</v>
      </c>
      <c r="H38" s="8">
        <v>147223.46689905127</v>
      </c>
      <c r="I38" s="8">
        <v>146688.81236205273</v>
      </c>
      <c r="J38" s="8">
        <v>146165.27512817955</v>
      </c>
      <c r="K38" s="8">
        <v>145683.04697093458</v>
      </c>
      <c r="L38" s="8">
        <v>145215.47649855778</v>
      </c>
      <c r="M38" s="8">
        <v>144759.27047576019</v>
      </c>
      <c r="N38" s="8">
        <v>144327.98145559191</v>
      </c>
      <c r="O38" s="8">
        <v>143904.82152686123</v>
      </c>
      <c r="P38" s="8">
        <v>143483.04868917842</v>
      </c>
    </row>
    <row r="39" spans="1:16" x14ac:dyDescent="0.25">
      <c r="A39" s="37" t="s">
        <v>9</v>
      </c>
      <c r="B39" s="38">
        <f t="shared" ref="B39:P39" si="39">SUM(B40:B41)</f>
        <v>108806</v>
      </c>
      <c r="C39" s="38">
        <f t="shared" si="39"/>
        <v>111566</v>
      </c>
      <c r="D39" s="8">
        <f t="shared" si="39"/>
        <v>111618.87268076323</v>
      </c>
      <c r="E39" s="8">
        <f t="shared" si="39"/>
        <v>111331.50322490667</v>
      </c>
      <c r="F39" s="8">
        <f t="shared" si="39"/>
        <v>111041.81600000552</v>
      </c>
      <c r="G39" s="8">
        <f t="shared" si="39"/>
        <v>110747.49892199953</v>
      </c>
      <c r="H39" s="8">
        <f t="shared" si="39"/>
        <v>110462.35340191668</v>
      </c>
      <c r="I39" s="8">
        <f t="shared" si="39"/>
        <v>110202.64320323577</v>
      </c>
      <c r="J39" s="8">
        <f t="shared" si="39"/>
        <v>109949.97705822368</v>
      </c>
      <c r="K39" s="8">
        <f t="shared" si="39"/>
        <v>109725.38192910596</v>
      </c>
      <c r="L39" s="8">
        <f t="shared" si="39"/>
        <v>109510.35292303572</v>
      </c>
      <c r="M39" s="8">
        <f t="shared" si="39"/>
        <v>109302.61511708813</v>
      </c>
      <c r="N39" s="8">
        <f t="shared" si="39"/>
        <v>109111.64781485675</v>
      </c>
      <c r="O39" s="8">
        <f t="shared" si="39"/>
        <v>108925.75466697053</v>
      </c>
      <c r="P39" s="8">
        <f t="shared" si="39"/>
        <v>108740.23029776807</v>
      </c>
    </row>
    <row r="40" spans="1:16" x14ac:dyDescent="0.25">
      <c r="A40" s="37" t="s">
        <v>62</v>
      </c>
      <c r="B40" s="8">
        <v>100144</v>
      </c>
      <c r="C40" s="14">
        <v>103334</v>
      </c>
      <c r="D40" s="14">
        <v>103386.87268076323</v>
      </c>
      <c r="E40" s="14">
        <v>103099.50322490667</v>
      </c>
      <c r="F40" s="14">
        <v>102809.81600000552</v>
      </c>
      <c r="G40" s="14">
        <v>102515.49892199953</v>
      </c>
      <c r="H40" s="14">
        <v>102230.35340191668</v>
      </c>
      <c r="I40" s="14">
        <v>101970.64320323577</v>
      </c>
      <c r="J40" s="14">
        <v>101717.97705822368</v>
      </c>
      <c r="K40" s="14">
        <v>101493.38192910596</v>
      </c>
      <c r="L40" s="14">
        <v>101278.35292303572</v>
      </c>
      <c r="M40" s="14">
        <v>101070.61511708813</v>
      </c>
      <c r="N40" s="14">
        <v>100879.64781485675</v>
      </c>
      <c r="O40" s="14">
        <v>100693.75466697053</v>
      </c>
      <c r="P40" s="14">
        <v>100508.23029776807</v>
      </c>
    </row>
    <row r="41" spans="1:16" x14ac:dyDescent="0.25">
      <c r="A41" s="37" t="s">
        <v>61</v>
      </c>
      <c r="B41" s="8">
        <v>8662</v>
      </c>
      <c r="C41" s="14">
        <v>8232</v>
      </c>
      <c r="D41" s="14">
        <v>8232</v>
      </c>
      <c r="E41" s="14">
        <v>8232</v>
      </c>
      <c r="F41" s="14">
        <v>8232</v>
      </c>
      <c r="G41" s="14">
        <v>8232</v>
      </c>
      <c r="H41" s="14">
        <v>8232</v>
      </c>
      <c r="I41" s="14">
        <v>8232</v>
      </c>
      <c r="J41" s="14">
        <v>8232</v>
      </c>
      <c r="K41" s="14">
        <v>8232</v>
      </c>
      <c r="L41" s="14">
        <v>8232</v>
      </c>
      <c r="M41" s="14">
        <v>8232</v>
      </c>
      <c r="N41" s="14">
        <v>8232</v>
      </c>
      <c r="O41" s="14">
        <v>8232</v>
      </c>
      <c r="P41" s="14">
        <v>8232</v>
      </c>
    </row>
    <row r="42" spans="1:16" x14ac:dyDescent="0.25">
      <c r="A42" s="11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x14ac:dyDescent="0.25">
      <c r="A43" s="10" t="s">
        <v>45</v>
      </c>
      <c r="B43" s="17">
        <v>2023</v>
      </c>
      <c r="C43" s="17">
        <v>2024</v>
      </c>
      <c r="D43" s="17">
        <f t="shared" ref="D43:P43" si="40">C43+1</f>
        <v>2025</v>
      </c>
      <c r="E43" s="17">
        <f t="shared" si="40"/>
        <v>2026</v>
      </c>
      <c r="F43" s="17">
        <f t="shared" si="40"/>
        <v>2027</v>
      </c>
      <c r="G43" s="17">
        <f t="shared" si="40"/>
        <v>2028</v>
      </c>
      <c r="H43" s="17">
        <f t="shared" si="40"/>
        <v>2029</v>
      </c>
      <c r="I43" s="17">
        <f t="shared" si="40"/>
        <v>2030</v>
      </c>
      <c r="J43" s="17">
        <f t="shared" si="40"/>
        <v>2031</v>
      </c>
      <c r="K43" s="17">
        <f t="shared" si="40"/>
        <v>2032</v>
      </c>
      <c r="L43" s="17">
        <f t="shared" si="40"/>
        <v>2033</v>
      </c>
      <c r="M43" s="17">
        <f t="shared" si="40"/>
        <v>2034</v>
      </c>
      <c r="N43" s="17">
        <f t="shared" si="40"/>
        <v>2035</v>
      </c>
      <c r="O43" s="17">
        <f t="shared" si="40"/>
        <v>2036</v>
      </c>
      <c r="P43" s="17">
        <f t="shared" si="40"/>
        <v>2037</v>
      </c>
    </row>
    <row r="44" spans="1:16" x14ac:dyDescent="0.25">
      <c r="A44" s="30" t="s">
        <v>58</v>
      </c>
      <c r="B44" s="48">
        <v>1.8242700000000001</v>
      </c>
      <c r="C44" s="48">
        <v>1.78</v>
      </c>
      <c r="D44" s="48">
        <f t="shared" ref="D44:F46" si="41">C44</f>
        <v>1.78</v>
      </c>
      <c r="E44" s="27">
        <f t="shared" si="41"/>
        <v>1.78</v>
      </c>
      <c r="F44" s="27">
        <f t="shared" si="41"/>
        <v>1.78</v>
      </c>
      <c r="G44" s="27">
        <f>F44*1.171287</f>
        <v>2.0848908599999998</v>
      </c>
      <c r="H44" s="27">
        <f>G44*1.0562756</f>
        <v>2.2022193440810156</v>
      </c>
      <c r="I44" s="27">
        <f>H44*1.052823</f>
        <v>2.3185471764934071</v>
      </c>
      <c r="J44" s="27">
        <f>I44*1.0451224</f>
        <v>2.4231655896100128</v>
      </c>
      <c r="K44" s="27">
        <f>J44*1.0472683</f>
        <v>2.5377045076493761</v>
      </c>
      <c r="L44" s="27">
        <f>K44*1.0448488</f>
        <v>2.6515175095720416</v>
      </c>
      <c r="M44" s="27">
        <f>L44*1.0426775</f>
        <v>2.7646776480868023</v>
      </c>
      <c r="N44" s="27">
        <f>M44*1.040617</f>
        <v>2.8769705601191435</v>
      </c>
      <c r="O44" s="27">
        <f>N44*1.034948</f>
        <v>2.9775149272541874</v>
      </c>
      <c r="P44" s="27">
        <f>O44*1.03737</f>
        <v>3.0887846600856763</v>
      </c>
    </row>
    <row r="45" spans="1:16" x14ac:dyDescent="0.25">
      <c r="A45" s="1" t="s">
        <v>59</v>
      </c>
      <c r="B45" s="48">
        <v>2.5127999999999999</v>
      </c>
      <c r="C45" s="48">
        <v>2.4843799999999998</v>
      </c>
      <c r="D45" s="48">
        <f t="shared" si="41"/>
        <v>2.4843799999999998</v>
      </c>
      <c r="E45" s="27">
        <f t="shared" si="41"/>
        <v>2.4843799999999998</v>
      </c>
      <c r="F45" s="27">
        <f t="shared" si="41"/>
        <v>2.4843799999999998</v>
      </c>
      <c r="G45" s="27">
        <f>F45*1.171287</f>
        <v>2.9099219970599997</v>
      </c>
      <c r="H45" s="27">
        <f t="shared" ref="H45:H46" si="42">G45*1.0562756</f>
        <v>3.0736796033977494</v>
      </c>
      <c r="I45" s="27">
        <f t="shared" ref="I45:I46" si="43">H45*1.052823</f>
        <v>3.2360405810880288</v>
      </c>
      <c r="J45" s="27">
        <f t="shared" ref="J45:J46" si="44">I45*1.0451224</f>
        <v>3.3820584986041151</v>
      </c>
      <c r="K45" s="27">
        <f t="shared" ref="K45:K46" si="45">J45*1.0472683</f>
        <v>3.5419226543336841</v>
      </c>
      <c r="L45" s="27">
        <f t="shared" ref="L45:L46" si="46">K45*1.0448488</f>
        <v>3.7007736350733649</v>
      </c>
      <c r="M45" s="27">
        <f t="shared" ref="M45:M46" si="47">L45*1.0426775</f>
        <v>3.858713401884208</v>
      </c>
      <c r="N45" s="27">
        <f t="shared" ref="N45:N46" si="48">M45*1.040617</f>
        <v>4.0154427641285384</v>
      </c>
      <c r="O45" s="27">
        <f t="shared" ref="O45:O46" si="49">N45*1.034948</f>
        <v>4.1557744578493026</v>
      </c>
      <c r="P45" s="27">
        <f t="shared" ref="P45:P46" si="50">O45*1.03737</f>
        <v>4.311075749339131</v>
      </c>
    </row>
    <row r="46" spans="1:16" x14ac:dyDescent="0.25">
      <c r="A46" s="1" t="s">
        <v>60</v>
      </c>
      <c r="B46" s="48">
        <v>3.9931999999999999</v>
      </c>
      <c r="C46" s="48">
        <v>3.6381999999999999</v>
      </c>
      <c r="D46" s="48">
        <f t="shared" si="41"/>
        <v>3.6381999999999999</v>
      </c>
      <c r="E46" s="27">
        <f t="shared" si="41"/>
        <v>3.6381999999999999</v>
      </c>
      <c r="F46" s="27">
        <f t="shared" si="41"/>
        <v>3.6381999999999999</v>
      </c>
      <c r="G46" s="27">
        <f>F46*1.171287</f>
        <v>4.2613763634000001</v>
      </c>
      <c r="H46" s="27">
        <f t="shared" si="42"/>
        <v>4.5011878750761527</v>
      </c>
      <c r="I46" s="27">
        <f t="shared" si="43"/>
        <v>4.7389541222013003</v>
      </c>
      <c r="J46" s="27">
        <f t="shared" si="44"/>
        <v>4.9527871056849158</v>
      </c>
      <c r="K46" s="27">
        <f t="shared" si="45"/>
        <v>5.1868969324325622</v>
      </c>
      <c r="L46" s="27">
        <f t="shared" si="46"/>
        <v>5.4195230355758435</v>
      </c>
      <c r="M46" s="27">
        <f t="shared" si="47"/>
        <v>5.6508147299266307</v>
      </c>
      <c r="N46" s="27">
        <f t="shared" si="48"/>
        <v>5.8803338718120601</v>
      </c>
      <c r="O46" s="27">
        <f t="shared" si="49"/>
        <v>6.0858397799641475</v>
      </c>
      <c r="P46" s="27">
        <f t="shared" si="50"/>
        <v>6.3132676125414067</v>
      </c>
    </row>
    <row r="47" spans="1:16" x14ac:dyDescent="0.25">
      <c r="A47" s="11"/>
      <c r="B47" s="25"/>
      <c r="C47" s="32"/>
      <c r="D47" s="33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</row>
    <row r="48" spans="1:16" x14ac:dyDescent="0.25">
      <c r="A48" s="40" t="s">
        <v>51</v>
      </c>
      <c r="B48" s="44">
        <f>B38*B44+B40*B45+B41*B46</f>
        <v>552977.52526999998</v>
      </c>
      <c r="C48" s="44">
        <f t="shared" ref="C48:P48" si="51">C38*C44+C40*C45+C41*C46</f>
        <v>553156.16532000003</v>
      </c>
      <c r="D48" s="44">
        <f t="shared" si="51"/>
        <v>552986.48859261256</v>
      </c>
      <c r="E48" s="44">
        <f t="shared" si="51"/>
        <v>551242.63357411081</v>
      </c>
      <c r="F48" s="44">
        <f>F38*F44+F40*F45+F41*F46</f>
        <v>549488.89470765076</v>
      </c>
      <c r="G48" s="44">
        <f>G38*G44+G40*G45+G41*G46</f>
        <v>641529.81915980589</v>
      </c>
      <c r="H48" s="44">
        <f t="shared" si="51"/>
        <v>675495.4973950038</v>
      </c>
      <c r="I48" s="44">
        <f t="shared" si="51"/>
        <v>709097.14154448896</v>
      </c>
      <c r="J48" s="44">
        <f t="shared" si="51"/>
        <v>738970.15731106699</v>
      </c>
      <c r="K48" s="44">
        <f t="shared" si="51"/>
        <v>771880.76925366267</v>
      </c>
      <c r="L48" s="44">
        <f t="shared" si="51"/>
        <v>804463.15052685968</v>
      </c>
      <c r="M48" s="44">
        <f t="shared" si="51"/>
        <v>836732.76338343066</v>
      </c>
      <c r="N48" s="44">
        <f>N38*N44+N40*N45+N41*N46</f>
        <v>868710.71394791838</v>
      </c>
      <c r="O48" s="44">
        <f t="shared" si="51"/>
        <v>897037.92097868398</v>
      </c>
      <c r="P48" s="44">
        <f t="shared" si="51"/>
        <v>928457.65300560184</v>
      </c>
    </row>
    <row r="49" spans="1:16" x14ac:dyDescent="0.25">
      <c r="A49" s="40" t="s">
        <v>46</v>
      </c>
      <c r="B49" s="41">
        <f>B51-B50</f>
        <v>762950.60375333345</v>
      </c>
      <c r="C49" s="41">
        <f>C51-C50</f>
        <v>708257.14889644925</v>
      </c>
      <c r="D49" s="41">
        <f t="shared" ref="D49:O49" si="52">D51-D50</f>
        <v>803749.79503020912</v>
      </c>
      <c r="E49" s="41">
        <f t="shared" si="52"/>
        <v>846313.46845464199</v>
      </c>
      <c r="F49" s="41">
        <f t="shared" si="52"/>
        <v>900536.63489611214</v>
      </c>
      <c r="G49" s="41">
        <f t="shared" si="52"/>
        <v>952639.56464513845</v>
      </c>
      <c r="H49" s="41">
        <f t="shared" si="52"/>
        <v>1003078.4797861394</v>
      </c>
      <c r="I49" s="41">
        <f t="shared" si="52"/>
        <v>1052975.0860708435</v>
      </c>
      <c r="J49" s="41">
        <f t="shared" si="52"/>
        <v>1097335.0218449866</v>
      </c>
      <c r="K49" s="41">
        <f t="shared" si="52"/>
        <v>1146204.7358216255</v>
      </c>
      <c r="L49" s="41">
        <f t="shared" si="52"/>
        <v>1194588.4411408321</v>
      </c>
      <c r="M49" s="41">
        <f t="shared" si="52"/>
        <v>1242506.7073881673</v>
      </c>
      <c r="N49" s="41">
        <f t="shared" si="52"/>
        <v>1289993.0489883446</v>
      </c>
      <c r="O49" s="41">
        <f t="shared" si="52"/>
        <v>1332056.7301452158</v>
      </c>
      <c r="P49" s="41">
        <f t="shared" ref="P49" si="53">P51-P50</f>
        <v>1378713.9847129141</v>
      </c>
    </row>
    <row r="50" spans="1:16" x14ac:dyDescent="0.25">
      <c r="A50" s="40" t="s">
        <v>43</v>
      </c>
      <c r="B50" s="44">
        <v>0</v>
      </c>
      <c r="C50" s="44">
        <v>59163.8</v>
      </c>
      <c r="D50" s="44">
        <f>1000*15</f>
        <v>15000</v>
      </c>
      <c r="E50" s="44">
        <f>3000*10</f>
        <v>30000</v>
      </c>
      <c r="F50" s="44">
        <f>3000*10</f>
        <v>30000</v>
      </c>
      <c r="G50" s="44">
        <f>3000*10</f>
        <v>30000</v>
      </c>
      <c r="H50" s="44">
        <f t="shared" ref="H50:I50" si="54">3000*10</f>
        <v>30000</v>
      </c>
      <c r="I50" s="44">
        <f t="shared" si="54"/>
        <v>30000</v>
      </c>
      <c r="J50" s="44">
        <f>3500*10</f>
        <v>35000</v>
      </c>
      <c r="K50" s="44">
        <f>3500*10</f>
        <v>35000</v>
      </c>
      <c r="L50" s="44">
        <f>3500*10</f>
        <v>35000</v>
      </c>
      <c r="M50" s="44">
        <f>3500*10</f>
        <v>35000</v>
      </c>
      <c r="N50" s="44">
        <f>3500*10</f>
        <v>35000</v>
      </c>
      <c r="O50" s="44">
        <f>4000*10</f>
        <v>40000</v>
      </c>
      <c r="P50" s="44">
        <f>4000*10</f>
        <v>40000</v>
      </c>
    </row>
    <row r="51" spans="1:16" x14ac:dyDescent="0.25">
      <c r="A51" s="40" t="s">
        <v>44</v>
      </c>
      <c r="B51" s="41">
        <f t="shared" ref="B51:P51" si="55">B35</f>
        <v>762950.60375333345</v>
      </c>
      <c r="C51" s="41">
        <f t="shared" si="55"/>
        <v>767420.94889644929</v>
      </c>
      <c r="D51" s="41">
        <f t="shared" si="55"/>
        <v>818749.79503020912</v>
      </c>
      <c r="E51" s="41">
        <f t="shared" si="55"/>
        <v>876313.46845464199</v>
      </c>
      <c r="F51" s="41">
        <f t="shared" si="55"/>
        <v>930536.63489611214</v>
      </c>
      <c r="G51" s="41">
        <f t="shared" si="55"/>
        <v>982639.56464513845</v>
      </c>
      <c r="H51" s="41">
        <f t="shared" si="55"/>
        <v>1033078.4797861394</v>
      </c>
      <c r="I51" s="41">
        <f t="shared" si="55"/>
        <v>1082975.0860708435</v>
      </c>
      <c r="J51" s="41">
        <f t="shared" si="55"/>
        <v>1132335.0218449866</v>
      </c>
      <c r="K51" s="41">
        <f t="shared" si="55"/>
        <v>1181204.7358216255</v>
      </c>
      <c r="L51" s="41">
        <f t="shared" si="55"/>
        <v>1229588.4411408321</v>
      </c>
      <c r="M51" s="41">
        <f t="shared" si="55"/>
        <v>1277506.7073881673</v>
      </c>
      <c r="N51" s="41">
        <f t="shared" si="55"/>
        <v>1324993.0489883446</v>
      </c>
      <c r="O51" s="41">
        <f t="shared" si="55"/>
        <v>1372056.7301452158</v>
      </c>
      <c r="P51" s="41">
        <f t="shared" si="55"/>
        <v>1418713.9847129141</v>
      </c>
    </row>
    <row r="52" spans="1:16" ht="6.6" customHeight="1" x14ac:dyDescent="0.25">
      <c r="A52" s="11"/>
      <c r="B52" s="7"/>
      <c r="C52" s="7"/>
    </row>
    <row r="53" spans="1:16" ht="21.6" hidden="1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12" customHeight="1" x14ac:dyDescent="0.25">
      <c r="A54" s="7"/>
      <c r="B54" s="7"/>
      <c r="C54" s="49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x14ac:dyDescent="0.25">
      <c r="A55" s="9" t="s">
        <v>47</v>
      </c>
      <c r="B55" s="8">
        <v>70</v>
      </c>
      <c r="C55" s="8">
        <v>70</v>
      </c>
      <c r="D55" s="8">
        <v>70</v>
      </c>
      <c r="E55" s="8">
        <v>70</v>
      </c>
      <c r="F55" s="8">
        <v>70</v>
      </c>
      <c r="G55" s="8">
        <v>70</v>
      </c>
      <c r="H55" s="8">
        <v>70</v>
      </c>
      <c r="I55" s="8">
        <v>70</v>
      </c>
      <c r="J55" s="8">
        <v>70</v>
      </c>
      <c r="K55" s="8">
        <v>70</v>
      </c>
      <c r="L55" s="8">
        <v>70</v>
      </c>
      <c r="M55" s="8">
        <v>70</v>
      </c>
      <c r="N55" s="8">
        <v>70</v>
      </c>
      <c r="O55" s="8">
        <v>70</v>
      </c>
      <c r="P55" s="8">
        <v>70</v>
      </c>
    </row>
    <row r="56" spans="1:16" x14ac:dyDescent="0.25">
      <c r="A56" s="9" t="s">
        <v>63</v>
      </c>
      <c r="B56" s="8">
        <v>960.2</v>
      </c>
      <c r="C56" s="8">
        <f t="shared" ref="C56:P56" si="56">B56*(1+C4)</f>
        <v>993.80700000000002</v>
      </c>
      <c r="D56" s="8">
        <f t="shared" si="56"/>
        <v>1045.484964</v>
      </c>
      <c r="E56" s="8">
        <f t="shared" si="56"/>
        <v>1079.9859678119999</v>
      </c>
      <c r="F56" s="8">
        <f t="shared" si="56"/>
        <v>1105.9056310394878</v>
      </c>
      <c r="G56" s="8">
        <f t="shared" si="56"/>
        <v>1130.2355549223566</v>
      </c>
      <c r="H56" s="8">
        <f t="shared" si="56"/>
        <v>1152.8402660208037</v>
      </c>
      <c r="I56" s="8">
        <f t="shared" si="56"/>
        <v>1175.8970713412198</v>
      </c>
      <c r="J56" s="8">
        <f t="shared" si="56"/>
        <v>1199.4150127680441</v>
      </c>
      <c r="K56" s="8">
        <f t="shared" si="56"/>
        <v>1223.403313023405</v>
      </c>
      <c r="L56" s="8">
        <f t="shared" si="56"/>
        <v>1247.871379283873</v>
      </c>
      <c r="M56" s="8">
        <f t="shared" si="56"/>
        <v>1272.8288068695506</v>
      </c>
      <c r="N56" s="8">
        <f t="shared" si="56"/>
        <v>1298.2853830069416</v>
      </c>
      <c r="O56" s="8">
        <f t="shared" si="56"/>
        <v>1324.2510906670805</v>
      </c>
      <c r="P56" s="8">
        <f t="shared" si="56"/>
        <v>1350.7361124804222</v>
      </c>
    </row>
    <row r="57" spans="1:16" x14ac:dyDescent="0.25">
      <c r="A57" s="9" t="s">
        <v>20</v>
      </c>
      <c r="B57" s="28">
        <f>((B44*1.22*B55+B45*1.22*B55)*365/12/1000)</f>
        <v>11.265900747500002</v>
      </c>
      <c r="C57" s="28">
        <f>((C44*1.22*C55+C45*1.22*C55)*365/12/1000)</f>
        <v>11.077082415</v>
      </c>
      <c r="D57" s="28">
        <f>((D44*1.23*D55+D45*1.23*D55)*365/12/1000)</f>
        <v>11.1678781725</v>
      </c>
      <c r="E57" s="28">
        <f>((E44*1.24*E55+E45*1.24*E55)*365/12/1000)</f>
        <v>11.258673929999999</v>
      </c>
      <c r="F57" s="28">
        <f>((F44*1.24*F55+F45*1.24*F55)*365/12/1000)</f>
        <v>11.258673929999999</v>
      </c>
      <c r="G57" s="28">
        <f>((G44*1.24*G55+G45*1.24*G55)*365/12/1000)</f>
        <v>13.187138411447908</v>
      </c>
      <c r="H57" s="28">
        <f t="shared" ref="H57:P57" si="57">((H44*1.22*H55+H45*1.22*H55)*365/12/1000)</f>
        <v>13.704587174321714</v>
      </c>
      <c r="I57" s="28">
        <f t="shared" si="57"/>
        <v>14.428504582630913</v>
      </c>
      <c r="J57" s="28">
        <f t="shared" si="57"/>
        <v>15.079553337810214</v>
      </c>
      <c r="K57" s="28">
        <f t="shared" si="57"/>
        <v>15.792338188847831</v>
      </c>
      <c r="L57" s="28">
        <f t="shared" si="57"/>
        <v>16.500605605811831</v>
      </c>
      <c r="M57" s="28">
        <f t="shared" si="57"/>
        <v>17.204810201553865</v>
      </c>
      <c r="N57" s="28">
        <f t="shared" si="57"/>
        <v>17.903617977510375</v>
      </c>
      <c r="O57" s="28">
        <f t="shared" si="57"/>
        <v>18.529313618588407</v>
      </c>
      <c r="P57" s="28">
        <f t="shared" si="57"/>
        <v>19.221754068515057</v>
      </c>
    </row>
    <row r="58" spans="1:16" x14ac:dyDescent="0.25">
      <c r="A58" s="10" t="s">
        <v>21</v>
      </c>
      <c r="B58" s="29">
        <f t="shared" ref="B58:P58" si="58">B57/B56</f>
        <v>1.1732868930951885E-2</v>
      </c>
      <c r="C58" s="29">
        <f t="shared" si="58"/>
        <v>1.1146110275938889E-2</v>
      </c>
      <c r="D58" s="29">
        <f t="shared" si="58"/>
        <v>1.0682007448267807E-2</v>
      </c>
      <c r="E58" s="29">
        <f t="shared" si="58"/>
        <v>1.0424833530762937E-2</v>
      </c>
      <c r="F58" s="29">
        <f t="shared" si="58"/>
        <v>1.0180501494885681E-2</v>
      </c>
      <c r="G58" s="29">
        <f t="shared" si="58"/>
        <v>1.1667601814520707E-2</v>
      </c>
      <c r="H58" s="29">
        <f t="shared" si="58"/>
        <v>1.1887672193846156E-2</v>
      </c>
      <c r="I58" s="29">
        <f t="shared" si="58"/>
        <v>1.2270210492295779E-2</v>
      </c>
      <c r="J58" s="29">
        <f t="shared" si="58"/>
        <v>1.2572423370797395E-2</v>
      </c>
      <c r="K58" s="29">
        <f t="shared" si="58"/>
        <v>1.2908529853348293E-2</v>
      </c>
      <c r="L58" s="29">
        <f t="shared" si="58"/>
        <v>1.322300188925014E-2</v>
      </c>
      <c r="M58" s="29">
        <f t="shared" si="58"/>
        <v>1.3516986816057463E-2</v>
      </c>
      <c r="N58" s="29">
        <f t="shared" si="58"/>
        <v>1.3790202225063986E-2</v>
      </c>
      <c r="O58" s="29">
        <f t="shared" si="58"/>
        <v>1.3992296286691687E-2</v>
      </c>
      <c r="P58" s="29">
        <f t="shared" si="58"/>
        <v>1.4230576861691525E-2</v>
      </c>
    </row>
    <row r="59" spans="1:16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 x14ac:dyDescent="0.25">
      <c r="A60" s="10" t="s">
        <v>16</v>
      </c>
      <c r="B60" s="16">
        <f t="shared" ref="B60:P60" si="59">B48+B50</f>
        <v>552977.52526999998</v>
      </c>
      <c r="C60" s="16">
        <f t="shared" si="59"/>
        <v>612319.96532000008</v>
      </c>
      <c r="D60" s="16">
        <f t="shared" si="59"/>
        <v>567986.48859261256</v>
      </c>
      <c r="E60" s="16">
        <f t="shared" si="59"/>
        <v>581242.63357411081</v>
      </c>
      <c r="F60" s="16">
        <f t="shared" si="59"/>
        <v>579488.89470765076</v>
      </c>
      <c r="G60" s="16">
        <f>G48+G50</f>
        <v>671529.81915980589</v>
      </c>
      <c r="H60" s="16">
        <f t="shared" si="59"/>
        <v>705495.4973950038</v>
      </c>
      <c r="I60" s="16">
        <f t="shared" si="59"/>
        <v>739097.14154448896</v>
      </c>
      <c r="J60" s="16">
        <f t="shared" si="59"/>
        <v>773970.15731106699</v>
      </c>
      <c r="K60" s="16">
        <f t="shared" si="59"/>
        <v>806880.76925366267</v>
      </c>
      <c r="L60" s="16">
        <f t="shared" si="59"/>
        <v>839463.15052685968</v>
      </c>
      <c r="M60" s="16">
        <f t="shared" si="59"/>
        <v>871732.76338343066</v>
      </c>
      <c r="N60" s="16">
        <f t="shared" si="59"/>
        <v>903710.71394791838</v>
      </c>
      <c r="O60" s="16">
        <f t="shared" si="59"/>
        <v>937037.92097868398</v>
      </c>
      <c r="P60" s="16">
        <f t="shared" si="59"/>
        <v>968457.65300560184</v>
      </c>
    </row>
    <row r="61" spans="1:16" x14ac:dyDescent="0.25">
      <c r="A61" s="1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1:16" x14ac:dyDescent="0.25">
      <c r="A62" s="10" t="s">
        <v>49</v>
      </c>
      <c r="B62" s="46">
        <v>2023</v>
      </c>
      <c r="C62" s="17">
        <v>2024</v>
      </c>
      <c r="D62" s="17">
        <f t="shared" ref="D62" si="60">C62+1</f>
        <v>2025</v>
      </c>
      <c r="E62" s="17">
        <f t="shared" ref="E62" si="61">D62+1</f>
        <v>2026</v>
      </c>
      <c r="F62" s="17">
        <f t="shared" ref="F62" si="62">E62+1</f>
        <v>2027</v>
      </c>
      <c r="G62" s="17">
        <f t="shared" ref="G62" si="63">F62+1</f>
        <v>2028</v>
      </c>
      <c r="H62" s="17">
        <f t="shared" ref="H62" si="64">G62+1</f>
        <v>2029</v>
      </c>
      <c r="I62" s="17">
        <f t="shared" ref="I62" si="65">H62+1</f>
        <v>2030</v>
      </c>
      <c r="J62" s="17">
        <f t="shared" ref="J62" si="66">I62+1</f>
        <v>2031</v>
      </c>
      <c r="K62" s="17">
        <f t="shared" ref="K62" si="67">J62+1</f>
        <v>2032</v>
      </c>
      <c r="L62" s="17">
        <f t="shared" ref="L62" si="68">K62+1</f>
        <v>2033</v>
      </c>
      <c r="M62" s="17">
        <f t="shared" ref="M62" si="69">L62+1</f>
        <v>2034</v>
      </c>
      <c r="N62" s="17">
        <f t="shared" ref="N62" si="70">M62+1</f>
        <v>2035</v>
      </c>
      <c r="O62" s="17">
        <f t="shared" ref="O62:P62" si="71">N62+1</f>
        <v>2036</v>
      </c>
      <c r="P62" s="17">
        <f t="shared" si="71"/>
        <v>2037</v>
      </c>
    </row>
    <row r="63" spans="1:16" x14ac:dyDescent="0.25">
      <c r="A63" s="9" t="s">
        <v>11</v>
      </c>
      <c r="B63" s="8">
        <f t="shared" ref="B63:O63" si="72">B60</f>
        <v>552977.52526999998</v>
      </c>
      <c r="C63" s="8">
        <f t="shared" si="72"/>
        <v>612319.96532000008</v>
      </c>
      <c r="D63" s="8">
        <f t="shared" si="72"/>
        <v>567986.48859261256</v>
      </c>
      <c r="E63" s="8">
        <f t="shared" si="72"/>
        <v>581242.63357411081</v>
      </c>
      <c r="F63" s="8">
        <f t="shared" si="72"/>
        <v>579488.89470765076</v>
      </c>
      <c r="G63" s="8">
        <f>G60</f>
        <v>671529.81915980589</v>
      </c>
      <c r="H63" s="8">
        <f t="shared" si="72"/>
        <v>705495.4973950038</v>
      </c>
      <c r="I63" s="8">
        <f t="shared" si="72"/>
        <v>739097.14154448896</v>
      </c>
      <c r="J63" s="8">
        <f t="shared" si="72"/>
        <v>773970.15731106699</v>
      </c>
      <c r="K63" s="8">
        <f t="shared" si="72"/>
        <v>806880.76925366267</v>
      </c>
      <c r="L63" s="8">
        <f t="shared" si="72"/>
        <v>839463.15052685968</v>
      </c>
      <c r="M63" s="8">
        <f t="shared" si="72"/>
        <v>871732.76338343066</v>
      </c>
      <c r="N63" s="8">
        <f t="shared" si="72"/>
        <v>903710.71394791838</v>
      </c>
      <c r="O63" s="8">
        <f t="shared" si="72"/>
        <v>937037.92097868398</v>
      </c>
      <c r="P63" s="8">
        <f t="shared" ref="P63" si="73">P60</f>
        <v>968457.65300560184</v>
      </c>
    </row>
    <row r="64" spans="1:16" x14ac:dyDescent="0.25">
      <c r="A64" s="9" t="s">
        <v>25</v>
      </c>
      <c r="B64" s="8">
        <f t="shared" ref="B64:P64" si="74">B28</f>
        <v>491668.36000000004</v>
      </c>
      <c r="C64" s="8">
        <f t="shared" si="74"/>
        <v>498542.53</v>
      </c>
      <c r="D64" s="8">
        <f t="shared" si="74"/>
        <v>520569.52417005826</v>
      </c>
      <c r="E64" s="8">
        <f t="shared" si="74"/>
        <v>537823.80745464202</v>
      </c>
      <c r="F64" s="8">
        <f t="shared" si="74"/>
        <v>550892.38839611225</v>
      </c>
      <c r="G64" s="8">
        <f t="shared" si="74"/>
        <v>562661.59733263846</v>
      </c>
      <c r="H64" s="8">
        <f t="shared" si="74"/>
        <v>573567.13473145198</v>
      </c>
      <c r="I64" s="8">
        <f t="shared" si="74"/>
        <v>584710.69776752335</v>
      </c>
      <c r="J64" s="8">
        <f t="shared" si="74"/>
        <v>596078.41642424942</v>
      </c>
      <c r="K64" s="8">
        <f t="shared" si="74"/>
        <v>607697.71876140661</v>
      </c>
      <c r="L64" s="8">
        <f t="shared" si="74"/>
        <v>619554.27278211876</v>
      </c>
      <c r="M64" s="8">
        <f t="shared" si="74"/>
        <v>631650.56656342163</v>
      </c>
      <c r="N64" s="8">
        <f t="shared" si="74"/>
        <v>644002.48505921778</v>
      </c>
      <c r="O64" s="8">
        <f t="shared" si="74"/>
        <v>656602.10373931704</v>
      </c>
      <c r="P64" s="8">
        <f t="shared" si="74"/>
        <v>669448.89744216285</v>
      </c>
    </row>
    <row r="65" spans="1:16" x14ac:dyDescent="0.25">
      <c r="A65" s="9" t="s">
        <v>34</v>
      </c>
      <c r="B65" s="8">
        <f t="shared" ref="B65:O65" si="75">B63-B64</f>
        <v>61309.165269999939</v>
      </c>
      <c r="C65" s="8">
        <f t="shared" si="75"/>
        <v>113777.43532000005</v>
      </c>
      <c r="D65" s="8">
        <f t="shared" si="75"/>
        <v>47416.964422554302</v>
      </c>
      <c r="E65" s="8">
        <f t="shared" si="75"/>
        <v>43418.82611946878</v>
      </c>
      <c r="F65" s="8">
        <f t="shared" si="75"/>
        <v>28596.506311538513</v>
      </c>
      <c r="G65" s="8">
        <f>G63-G64</f>
        <v>108868.22182716744</v>
      </c>
      <c r="H65" s="8">
        <f t="shared" si="75"/>
        <v>131928.36266355182</v>
      </c>
      <c r="I65" s="8">
        <f t="shared" si="75"/>
        <v>154386.44377696561</v>
      </c>
      <c r="J65" s="8">
        <f t="shared" si="75"/>
        <v>177891.74088681757</v>
      </c>
      <c r="K65" s="8">
        <f t="shared" si="75"/>
        <v>199183.05049225606</v>
      </c>
      <c r="L65" s="8">
        <f t="shared" si="75"/>
        <v>219908.87774474092</v>
      </c>
      <c r="M65" s="8">
        <f t="shared" si="75"/>
        <v>240082.19682000903</v>
      </c>
      <c r="N65" s="8">
        <f t="shared" si="75"/>
        <v>259708.2288887006</v>
      </c>
      <c r="O65" s="8">
        <f t="shared" si="75"/>
        <v>280435.81723936694</v>
      </c>
      <c r="P65" s="8">
        <f t="shared" ref="P65" si="76">P63-P64</f>
        <v>299008.75556343899</v>
      </c>
    </row>
    <row r="66" spans="1:16" x14ac:dyDescent="0.25">
      <c r="A66" s="9" t="s">
        <v>54</v>
      </c>
      <c r="B66" s="8">
        <v>24175</v>
      </c>
      <c r="C66" s="8">
        <v>24360</v>
      </c>
      <c r="D66" s="8">
        <v>24192</v>
      </c>
      <c r="E66" s="8">
        <v>23792</v>
      </c>
      <c r="F66" s="8">
        <v>18610</v>
      </c>
      <c r="G66" s="8">
        <v>17292</v>
      </c>
      <c r="H66" s="8">
        <v>17292</v>
      </c>
      <c r="I66" s="8">
        <v>17292</v>
      </c>
      <c r="J66" s="8">
        <v>17306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</row>
    <row r="67" spans="1:16" x14ac:dyDescent="0.25">
      <c r="A67" s="9" t="s">
        <v>52</v>
      </c>
      <c r="B67" s="8">
        <v>6270</v>
      </c>
      <c r="C67" s="8">
        <v>7174</v>
      </c>
      <c r="D67" s="8">
        <v>4261.5940000000001</v>
      </c>
      <c r="E67" s="8">
        <v>3387.5120000000002</v>
      </c>
      <c r="F67" s="8">
        <v>2636.2340000000004</v>
      </c>
      <c r="G67" s="8">
        <v>2027.9560000000001</v>
      </c>
      <c r="H67" s="8">
        <v>1448.674</v>
      </c>
      <c r="I67" s="8">
        <v>869.39200000000005</v>
      </c>
      <c r="J67" s="8">
        <v>289.87550000000005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</row>
    <row r="68" spans="1:16" x14ac:dyDescent="0.25">
      <c r="A68" s="10" t="s">
        <v>18</v>
      </c>
      <c r="B68" s="13">
        <f t="shared" ref="B68:J68" si="77">B65/(B66+B67)</f>
        <v>2.0137679510592852</v>
      </c>
      <c r="C68" s="13">
        <f t="shared" si="77"/>
        <v>3.6080876298598352</v>
      </c>
      <c r="D68" s="13">
        <f t="shared" si="77"/>
        <v>1.6664666130596473</v>
      </c>
      <c r="E68" s="13">
        <f t="shared" si="77"/>
        <v>1.5974836531085908</v>
      </c>
      <c r="F68" s="13">
        <f t="shared" si="77"/>
        <v>1.3459564792300844</v>
      </c>
      <c r="G68" s="13">
        <f t="shared" si="77"/>
        <v>5.6350139631357052</v>
      </c>
      <c r="H68" s="13">
        <f t="shared" si="77"/>
        <v>7.039680785416353</v>
      </c>
      <c r="I68" s="13">
        <f t="shared" si="77"/>
        <v>8.5008045515985557</v>
      </c>
      <c r="J68" s="13">
        <f t="shared" si="77"/>
        <v>10.109854487593845</v>
      </c>
      <c r="K68" s="13"/>
      <c r="L68" s="13"/>
      <c r="M68" s="13"/>
      <c r="N68" s="13"/>
      <c r="O68" s="13"/>
      <c r="P68" s="13"/>
    </row>
    <row r="69" spans="1:16" x14ac:dyDescent="0.25">
      <c r="A69" s="11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1:16" ht="0.75" hidden="1" customHeight="1" x14ac:dyDescent="0.25">
      <c r="A70" s="11" t="s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 hidden="1" x14ac:dyDescent="0.25">
      <c r="A71" s="9" t="s">
        <v>11</v>
      </c>
      <c r="B71" s="8">
        <f t="shared" ref="B71:O71" si="78">B60</f>
        <v>552977.52526999998</v>
      </c>
      <c r="C71" s="8">
        <f t="shared" si="78"/>
        <v>612319.96532000008</v>
      </c>
      <c r="D71" s="8">
        <f t="shared" si="78"/>
        <v>567986.48859261256</v>
      </c>
      <c r="E71" s="8">
        <f t="shared" si="78"/>
        <v>581242.63357411081</v>
      </c>
      <c r="F71" s="8">
        <f t="shared" si="78"/>
        <v>579488.89470765076</v>
      </c>
      <c r="G71" s="8">
        <f t="shared" si="78"/>
        <v>671529.81915980589</v>
      </c>
      <c r="H71" s="8">
        <f t="shared" si="78"/>
        <v>705495.4973950038</v>
      </c>
      <c r="I71" s="8">
        <f t="shared" si="78"/>
        <v>739097.14154448896</v>
      </c>
      <c r="J71" s="8">
        <f t="shared" si="78"/>
        <v>773970.15731106699</v>
      </c>
      <c r="K71" s="8">
        <f t="shared" si="78"/>
        <v>806880.76925366267</v>
      </c>
      <c r="L71" s="8">
        <f t="shared" si="78"/>
        <v>839463.15052685968</v>
      </c>
      <c r="M71" s="8">
        <f t="shared" si="78"/>
        <v>871732.76338343066</v>
      </c>
      <c r="N71" s="8">
        <f t="shared" si="78"/>
        <v>903710.71394791838</v>
      </c>
      <c r="O71" s="8">
        <f t="shared" si="78"/>
        <v>937037.92097868398</v>
      </c>
      <c r="P71" s="8">
        <f t="shared" ref="P71" si="79">P60</f>
        <v>968457.65300560184</v>
      </c>
    </row>
    <row r="72" spans="1:16" hidden="1" x14ac:dyDescent="0.25">
      <c r="A72" s="9" t="s">
        <v>25</v>
      </c>
      <c r="B72" s="8">
        <f t="shared" ref="B72:P72" si="80">B28</f>
        <v>491668.36000000004</v>
      </c>
      <c r="C72" s="8">
        <f t="shared" si="80"/>
        <v>498542.53</v>
      </c>
      <c r="D72" s="8">
        <f t="shared" si="80"/>
        <v>520569.52417005826</v>
      </c>
      <c r="E72" s="8">
        <f t="shared" si="80"/>
        <v>537823.80745464202</v>
      </c>
      <c r="F72" s="8">
        <f t="shared" si="80"/>
        <v>550892.38839611225</v>
      </c>
      <c r="G72" s="8">
        <f t="shared" si="80"/>
        <v>562661.59733263846</v>
      </c>
      <c r="H72" s="8">
        <f t="shared" si="80"/>
        <v>573567.13473145198</v>
      </c>
      <c r="I72" s="8">
        <f t="shared" si="80"/>
        <v>584710.69776752335</v>
      </c>
      <c r="J72" s="8">
        <f t="shared" si="80"/>
        <v>596078.41642424942</v>
      </c>
      <c r="K72" s="8">
        <f t="shared" si="80"/>
        <v>607697.71876140661</v>
      </c>
      <c r="L72" s="8">
        <f t="shared" si="80"/>
        <v>619554.27278211876</v>
      </c>
      <c r="M72" s="8">
        <f t="shared" si="80"/>
        <v>631650.56656342163</v>
      </c>
      <c r="N72" s="8">
        <f t="shared" si="80"/>
        <v>644002.48505921778</v>
      </c>
      <c r="O72" s="8">
        <f t="shared" si="80"/>
        <v>656602.10373931704</v>
      </c>
      <c r="P72" s="8">
        <f t="shared" si="80"/>
        <v>669448.89744216285</v>
      </c>
    </row>
    <row r="73" spans="1:16" hidden="1" x14ac:dyDescent="0.25">
      <c r="A73" s="9" t="s">
        <v>17</v>
      </c>
      <c r="B73" s="8">
        <f t="shared" ref="B73:O73" si="81">B71-B72</f>
        <v>61309.165269999939</v>
      </c>
      <c r="C73" s="8">
        <f t="shared" si="81"/>
        <v>113777.43532000005</v>
      </c>
      <c r="D73" s="8">
        <f t="shared" si="81"/>
        <v>47416.964422554302</v>
      </c>
      <c r="E73" s="8">
        <f t="shared" si="81"/>
        <v>43418.82611946878</v>
      </c>
      <c r="F73" s="8">
        <f t="shared" si="81"/>
        <v>28596.506311538513</v>
      </c>
      <c r="G73" s="8">
        <f t="shared" si="81"/>
        <v>108868.22182716744</v>
      </c>
      <c r="H73" s="8">
        <f t="shared" si="81"/>
        <v>131928.36266355182</v>
      </c>
      <c r="I73" s="8">
        <f t="shared" si="81"/>
        <v>154386.44377696561</v>
      </c>
      <c r="J73" s="8">
        <f t="shared" si="81"/>
        <v>177891.74088681757</v>
      </c>
      <c r="K73" s="8">
        <f t="shared" si="81"/>
        <v>199183.05049225606</v>
      </c>
      <c r="L73" s="8">
        <f t="shared" si="81"/>
        <v>219908.87774474092</v>
      </c>
      <c r="M73" s="8">
        <f t="shared" si="81"/>
        <v>240082.19682000903</v>
      </c>
      <c r="N73" s="8">
        <f t="shared" si="81"/>
        <v>259708.2288887006</v>
      </c>
      <c r="O73" s="8">
        <f t="shared" si="81"/>
        <v>280435.81723936694</v>
      </c>
      <c r="P73" s="8">
        <f t="shared" ref="P73" si="82">P71-P72</f>
        <v>299008.75556343899</v>
      </c>
    </row>
    <row r="74" spans="1:16" hidden="1" x14ac:dyDescent="0.25">
      <c r="A74" s="9" t="s">
        <v>15</v>
      </c>
      <c r="B74" s="8" t="e">
        <f>#REF!+#REF!</f>
        <v>#REF!</v>
      </c>
      <c r="C74" s="8" t="e">
        <f>#REF!+#REF!</f>
        <v>#REF!</v>
      </c>
      <c r="D74" s="8" t="e">
        <f>#REF!+#REF!</f>
        <v>#REF!</v>
      </c>
      <c r="E74" s="8" t="e">
        <f>#REF!+#REF!</f>
        <v>#REF!</v>
      </c>
      <c r="F74" s="8" t="e">
        <f>#REF!+#REF!</f>
        <v>#REF!</v>
      </c>
      <c r="G74" s="8" t="e">
        <f>#REF!+#REF!</f>
        <v>#REF!</v>
      </c>
      <c r="H74" s="8" t="e">
        <f>#REF!+#REF!</f>
        <v>#REF!</v>
      </c>
      <c r="I74" s="8" t="e">
        <f>#REF!+#REF!</f>
        <v>#REF!</v>
      </c>
      <c r="J74" s="8" t="e">
        <f>#REF!+#REF!</f>
        <v>#REF!</v>
      </c>
      <c r="K74" s="8" t="e">
        <f>#REF!+#REF!</f>
        <v>#REF!</v>
      </c>
      <c r="L74" s="8" t="e">
        <f>#REF!+#REF!</f>
        <v>#REF!</v>
      </c>
      <c r="M74" s="8" t="e">
        <f>#REF!+#REF!</f>
        <v>#REF!</v>
      </c>
      <c r="N74" s="8" t="e">
        <f>#REF!+#REF!</f>
        <v>#REF!</v>
      </c>
      <c r="O74" s="8" t="e">
        <f>#REF!+#REF!</f>
        <v>#REF!</v>
      </c>
      <c r="P74" s="8" t="e">
        <f>#REF!+#REF!</f>
        <v>#REF!</v>
      </c>
    </row>
    <row r="75" spans="1:16" ht="15" hidden="1" customHeight="1" x14ac:dyDescent="0.25">
      <c r="A75" s="10" t="s">
        <v>18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idden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 hidden="1" x14ac:dyDescent="0.25">
      <c r="A77" s="7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7"/>
      <c r="N77" s="7"/>
      <c r="O77" s="7"/>
      <c r="P77" s="7"/>
    </row>
    <row r="78" spans="1:16" x14ac:dyDescent="0.25">
      <c r="A78" s="10" t="s">
        <v>24</v>
      </c>
      <c r="B78" s="17">
        <v>2023</v>
      </c>
      <c r="C78" s="17">
        <v>2024</v>
      </c>
      <c r="D78" s="17">
        <f t="shared" ref="D78" si="83">C78+1</f>
        <v>2025</v>
      </c>
      <c r="E78" s="17">
        <f t="shared" ref="E78" si="84">D78+1</f>
        <v>2026</v>
      </c>
      <c r="F78" s="17">
        <f t="shared" ref="F78" si="85">E78+1</f>
        <v>2027</v>
      </c>
      <c r="G78" s="17">
        <f t="shared" ref="G78" si="86">F78+1</f>
        <v>2028</v>
      </c>
      <c r="H78" s="17">
        <f t="shared" ref="H78" si="87">G78+1</f>
        <v>2029</v>
      </c>
      <c r="I78" s="17">
        <f t="shared" ref="I78" si="88">H78+1</f>
        <v>2030</v>
      </c>
      <c r="J78" s="17">
        <f t="shared" ref="J78" si="89">I78+1</f>
        <v>2031</v>
      </c>
      <c r="K78" s="17">
        <f t="shared" ref="K78" si="90">J78+1</f>
        <v>2032</v>
      </c>
      <c r="L78" s="17">
        <f t="shared" ref="L78" si="91">K78+1</f>
        <v>2033</v>
      </c>
      <c r="M78" s="17">
        <f t="shared" ref="M78" si="92">L78+1</f>
        <v>2034</v>
      </c>
      <c r="N78" s="17">
        <f t="shared" ref="N78" si="93">M78+1</f>
        <v>2035</v>
      </c>
      <c r="O78" s="17">
        <f t="shared" ref="O78:P78" si="94">N78+1</f>
        <v>2036</v>
      </c>
      <c r="P78" s="17">
        <f t="shared" si="94"/>
        <v>2037</v>
      </c>
    </row>
    <row r="79" spans="1:16" x14ac:dyDescent="0.25">
      <c r="A79" s="9" t="s">
        <v>11</v>
      </c>
      <c r="B79" s="8">
        <f t="shared" ref="B79:O79" si="95">B60</f>
        <v>552977.52526999998</v>
      </c>
      <c r="C79" s="8">
        <f t="shared" si="95"/>
        <v>612319.96532000008</v>
      </c>
      <c r="D79" s="8">
        <f t="shared" si="95"/>
        <v>567986.48859261256</v>
      </c>
      <c r="E79" s="8">
        <f t="shared" si="95"/>
        <v>581242.63357411081</v>
      </c>
      <c r="F79" s="8">
        <f t="shared" si="95"/>
        <v>579488.89470765076</v>
      </c>
      <c r="G79" s="8">
        <f t="shared" si="95"/>
        <v>671529.81915980589</v>
      </c>
      <c r="H79" s="8">
        <f t="shared" si="95"/>
        <v>705495.4973950038</v>
      </c>
      <c r="I79" s="8">
        <f t="shared" si="95"/>
        <v>739097.14154448896</v>
      </c>
      <c r="J79" s="8">
        <f t="shared" si="95"/>
        <v>773970.15731106699</v>
      </c>
      <c r="K79" s="8">
        <f t="shared" si="95"/>
        <v>806880.76925366267</v>
      </c>
      <c r="L79" s="8">
        <f t="shared" si="95"/>
        <v>839463.15052685968</v>
      </c>
      <c r="M79" s="8">
        <f t="shared" si="95"/>
        <v>871732.76338343066</v>
      </c>
      <c r="N79" s="8">
        <f t="shared" si="95"/>
        <v>903710.71394791838</v>
      </c>
      <c r="O79" s="8">
        <f t="shared" si="95"/>
        <v>937037.92097868398</v>
      </c>
      <c r="P79" s="8">
        <f t="shared" ref="P79" si="96">P60</f>
        <v>968457.65300560184</v>
      </c>
    </row>
    <row r="80" spans="1:16" x14ac:dyDescent="0.25">
      <c r="A80" s="9" t="s">
        <v>19</v>
      </c>
      <c r="B80" s="8">
        <f t="shared" ref="B80:P80" si="97">B28</f>
        <v>491668.36000000004</v>
      </c>
      <c r="C80" s="8">
        <f t="shared" si="97"/>
        <v>498542.53</v>
      </c>
      <c r="D80" s="8">
        <f t="shared" si="97"/>
        <v>520569.52417005826</v>
      </c>
      <c r="E80" s="8">
        <f t="shared" si="97"/>
        <v>537823.80745464202</v>
      </c>
      <c r="F80" s="8">
        <f t="shared" si="97"/>
        <v>550892.38839611225</v>
      </c>
      <c r="G80" s="8">
        <f t="shared" si="97"/>
        <v>562661.59733263846</v>
      </c>
      <c r="H80" s="8">
        <f t="shared" si="97"/>
        <v>573567.13473145198</v>
      </c>
      <c r="I80" s="8">
        <f t="shared" si="97"/>
        <v>584710.69776752335</v>
      </c>
      <c r="J80" s="8">
        <f t="shared" si="97"/>
        <v>596078.41642424942</v>
      </c>
      <c r="K80" s="8">
        <f t="shared" si="97"/>
        <v>607697.71876140661</v>
      </c>
      <c r="L80" s="8">
        <f t="shared" si="97"/>
        <v>619554.27278211876</v>
      </c>
      <c r="M80" s="8">
        <f t="shared" si="97"/>
        <v>631650.56656342163</v>
      </c>
      <c r="N80" s="8">
        <f t="shared" si="97"/>
        <v>644002.48505921778</v>
      </c>
      <c r="O80" s="8">
        <f t="shared" si="97"/>
        <v>656602.10373931704</v>
      </c>
      <c r="P80" s="8">
        <f t="shared" si="97"/>
        <v>669448.89744216285</v>
      </c>
    </row>
    <row r="81" spans="1:16" x14ac:dyDescent="0.25">
      <c r="A81" s="9" t="s">
        <v>22</v>
      </c>
      <c r="B81" s="8">
        <f t="shared" ref="B81:P81" si="98">B30</f>
        <v>86285</v>
      </c>
      <c r="C81" s="8">
        <f t="shared" si="98"/>
        <v>86465</v>
      </c>
      <c r="D81" s="8">
        <f t="shared" si="98"/>
        <v>86465</v>
      </c>
      <c r="E81" s="8">
        <f t="shared" si="98"/>
        <v>100215</v>
      </c>
      <c r="F81" s="8">
        <f t="shared" si="98"/>
        <v>113965</v>
      </c>
      <c r="G81" s="8">
        <f t="shared" si="98"/>
        <v>127715</v>
      </c>
      <c r="H81" s="8">
        <f t="shared" si="98"/>
        <v>141465</v>
      </c>
      <c r="I81" s="8">
        <f t="shared" si="98"/>
        <v>155215</v>
      </c>
      <c r="J81" s="8">
        <f t="shared" si="98"/>
        <v>168965</v>
      </c>
      <c r="K81" s="8">
        <f t="shared" si="98"/>
        <v>182715</v>
      </c>
      <c r="L81" s="8">
        <f t="shared" si="98"/>
        <v>196465</v>
      </c>
      <c r="M81" s="8">
        <f t="shared" si="98"/>
        <v>210215</v>
      </c>
      <c r="N81" s="8">
        <f t="shared" si="98"/>
        <v>223965</v>
      </c>
      <c r="O81" s="8">
        <f t="shared" si="98"/>
        <v>237715</v>
      </c>
      <c r="P81" s="8">
        <f t="shared" si="98"/>
        <v>251465</v>
      </c>
    </row>
    <row r="82" spans="1:16" x14ac:dyDescent="0.25">
      <c r="A82" s="40" t="s">
        <v>23</v>
      </c>
      <c r="B82" s="38">
        <f t="shared" ref="B82" si="99">B79-B80</f>
        <v>61309.165269999939</v>
      </c>
      <c r="C82" s="38">
        <f t="shared" ref="C82:O82" si="100">C79-C80</f>
        <v>113777.43532000005</v>
      </c>
      <c r="D82" s="38">
        <f t="shared" si="100"/>
        <v>47416.964422554302</v>
      </c>
      <c r="E82" s="38">
        <f t="shared" si="100"/>
        <v>43418.82611946878</v>
      </c>
      <c r="F82" s="38">
        <f t="shared" si="100"/>
        <v>28596.506311538513</v>
      </c>
      <c r="G82" s="38">
        <f t="shared" si="100"/>
        <v>108868.22182716744</v>
      </c>
      <c r="H82" s="38">
        <f t="shared" si="100"/>
        <v>131928.36266355182</v>
      </c>
      <c r="I82" s="38">
        <f t="shared" si="100"/>
        <v>154386.44377696561</v>
      </c>
      <c r="J82" s="38">
        <f t="shared" si="100"/>
        <v>177891.74088681757</v>
      </c>
      <c r="K82" s="38">
        <f t="shared" si="100"/>
        <v>199183.05049225606</v>
      </c>
      <c r="L82" s="38">
        <f t="shared" si="100"/>
        <v>219908.87774474092</v>
      </c>
      <c r="M82" s="38">
        <f t="shared" si="100"/>
        <v>240082.19682000903</v>
      </c>
      <c r="N82" s="38">
        <f t="shared" si="100"/>
        <v>259708.2288887006</v>
      </c>
      <c r="O82" s="38">
        <f t="shared" si="100"/>
        <v>280435.81723936694</v>
      </c>
      <c r="P82" s="38">
        <f t="shared" ref="P82" si="101">P79-P80</f>
        <v>299008.75556343899</v>
      </c>
    </row>
    <row r="83" spans="1:16" x14ac:dyDescent="0.25">
      <c r="A83" s="40" t="s">
        <v>27</v>
      </c>
      <c r="B83" s="38">
        <f t="shared" ref="B83" si="102">B79-(B80+B81)</f>
        <v>-24975.834730000119</v>
      </c>
      <c r="C83" s="38">
        <f t="shared" ref="C83:O83" si="103">C79-(C80+C81)</f>
        <v>27312.435320000048</v>
      </c>
      <c r="D83" s="38">
        <f t="shared" si="103"/>
        <v>-39048.035577445757</v>
      </c>
      <c r="E83" s="38">
        <f t="shared" si="103"/>
        <v>-56796.17388053122</v>
      </c>
      <c r="F83" s="38">
        <f t="shared" si="103"/>
        <v>-85368.493688461487</v>
      </c>
      <c r="G83" s="38">
        <f t="shared" si="103"/>
        <v>-18846.778172832564</v>
      </c>
      <c r="H83" s="38">
        <f t="shared" si="103"/>
        <v>-9536.6373364481842</v>
      </c>
      <c r="I83" s="38">
        <f t="shared" si="103"/>
        <v>-828.55622303439304</v>
      </c>
      <c r="J83" s="38">
        <f t="shared" si="103"/>
        <v>8926.7408868175698</v>
      </c>
      <c r="K83" s="38">
        <f t="shared" si="103"/>
        <v>16468.050492256065</v>
      </c>
      <c r="L83" s="38">
        <f t="shared" si="103"/>
        <v>23443.877744740923</v>
      </c>
      <c r="M83" s="38">
        <f t="shared" si="103"/>
        <v>29867.196820009034</v>
      </c>
      <c r="N83" s="38">
        <f t="shared" si="103"/>
        <v>35743.2288887006</v>
      </c>
      <c r="O83" s="38">
        <f t="shared" si="103"/>
        <v>42720.817239366937</v>
      </c>
      <c r="P83" s="38">
        <f t="shared" ref="P83" si="104">P79-(P80+P81)</f>
        <v>47543.755563438986</v>
      </c>
    </row>
    <row r="84" spans="1:16" x14ac:dyDescent="0.25">
      <c r="B84" s="7"/>
      <c r="C84" s="7"/>
    </row>
    <row r="85" spans="1:16" x14ac:dyDescent="0.25">
      <c r="A85" s="10" t="s">
        <v>55</v>
      </c>
      <c r="B85" s="17">
        <v>2023</v>
      </c>
      <c r="C85" s="17">
        <v>2024</v>
      </c>
      <c r="D85" s="17">
        <v>2025</v>
      </c>
      <c r="E85" s="17">
        <f t="shared" ref="E85" si="105">D85+1</f>
        <v>2026</v>
      </c>
      <c r="F85" s="17">
        <f t="shared" ref="F85" si="106">E85+1</f>
        <v>2027</v>
      </c>
      <c r="G85" s="17">
        <f t="shared" ref="G85" si="107">F85+1</f>
        <v>2028</v>
      </c>
      <c r="H85" s="17">
        <f t="shared" ref="H85" si="108">G85+1</f>
        <v>2029</v>
      </c>
      <c r="I85" s="17">
        <f t="shared" ref="I85" si="109">H85+1</f>
        <v>2030</v>
      </c>
      <c r="J85" s="17">
        <f t="shared" ref="J85" si="110">I85+1</f>
        <v>2031</v>
      </c>
      <c r="K85" s="17">
        <f t="shared" ref="K85" si="111">J85+1</f>
        <v>2032</v>
      </c>
      <c r="L85" s="17">
        <f t="shared" ref="L85" si="112">K85+1</f>
        <v>2033</v>
      </c>
      <c r="M85" s="17">
        <f t="shared" ref="M85" si="113">L85+1</f>
        <v>2034</v>
      </c>
      <c r="N85" s="17">
        <f t="shared" ref="N85" si="114">M85+1</f>
        <v>2035</v>
      </c>
      <c r="O85" s="17">
        <f t="shared" ref="O85:P85" si="115">N85+1</f>
        <v>2036</v>
      </c>
      <c r="P85" s="17">
        <f t="shared" si="115"/>
        <v>2037</v>
      </c>
    </row>
    <row r="86" spans="1:16" x14ac:dyDescent="0.25">
      <c r="A86" s="9" t="s">
        <v>35</v>
      </c>
      <c r="B86" s="22">
        <f t="shared" ref="B86:C86" si="116">B60</f>
        <v>552977.52526999998</v>
      </c>
      <c r="C86" s="22">
        <f t="shared" si="116"/>
        <v>612319.96532000008</v>
      </c>
      <c r="D86" s="22">
        <f t="shared" ref="D86:O86" si="117">D60</f>
        <v>567986.48859261256</v>
      </c>
      <c r="E86" s="22">
        <f t="shared" si="117"/>
        <v>581242.63357411081</v>
      </c>
      <c r="F86" s="22">
        <f t="shared" si="117"/>
        <v>579488.89470765076</v>
      </c>
      <c r="G86" s="22">
        <f t="shared" si="117"/>
        <v>671529.81915980589</v>
      </c>
      <c r="H86" s="22">
        <f t="shared" si="117"/>
        <v>705495.4973950038</v>
      </c>
      <c r="I86" s="22">
        <f t="shared" si="117"/>
        <v>739097.14154448896</v>
      </c>
      <c r="J86" s="22">
        <f t="shared" si="117"/>
        <v>773970.15731106699</v>
      </c>
      <c r="K86" s="22">
        <f t="shared" si="117"/>
        <v>806880.76925366267</v>
      </c>
      <c r="L86" s="22">
        <f t="shared" si="117"/>
        <v>839463.15052685968</v>
      </c>
      <c r="M86" s="22">
        <f t="shared" si="117"/>
        <v>871732.76338343066</v>
      </c>
      <c r="N86" s="22">
        <f t="shared" si="117"/>
        <v>903710.71394791838</v>
      </c>
      <c r="O86" s="22">
        <f t="shared" si="117"/>
        <v>937037.92097868398</v>
      </c>
      <c r="P86" s="22">
        <f t="shared" ref="P86" si="118">P60</f>
        <v>968457.65300560184</v>
      </c>
    </row>
    <row r="87" spans="1:16" ht="14.45" customHeight="1" x14ac:dyDescent="0.25">
      <c r="A87" s="42" t="s">
        <v>48</v>
      </c>
      <c r="B87" s="34">
        <v>0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</row>
    <row r="88" spans="1:16" x14ac:dyDescent="0.25">
      <c r="A88" s="9" t="s">
        <v>36</v>
      </c>
      <c r="B88" s="22">
        <f t="shared" ref="B88:C88" si="119">B28</f>
        <v>491668.36000000004</v>
      </c>
      <c r="C88" s="22">
        <f t="shared" si="119"/>
        <v>498542.53</v>
      </c>
      <c r="D88" s="22">
        <f t="shared" ref="D88:P88" si="120">D28</f>
        <v>520569.52417005826</v>
      </c>
      <c r="E88" s="22">
        <f t="shared" si="120"/>
        <v>537823.80745464202</v>
      </c>
      <c r="F88" s="22">
        <f t="shared" si="120"/>
        <v>550892.38839611225</v>
      </c>
      <c r="G88" s="22">
        <f t="shared" si="120"/>
        <v>562661.59733263846</v>
      </c>
      <c r="H88" s="22">
        <f t="shared" si="120"/>
        <v>573567.13473145198</v>
      </c>
      <c r="I88" s="22">
        <f t="shared" si="120"/>
        <v>584710.69776752335</v>
      </c>
      <c r="J88" s="22">
        <f t="shared" si="120"/>
        <v>596078.41642424942</v>
      </c>
      <c r="K88" s="22">
        <f t="shared" si="120"/>
        <v>607697.71876140661</v>
      </c>
      <c r="L88" s="22">
        <f t="shared" si="120"/>
        <v>619554.27278211876</v>
      </c>
      <c r="M88" s="22">
        <f t="shared" si="120"/>
        <v>631650.56656342163</v>
      </c>
      <c r="N88" s="22">
        <f t="shared" si="120"/>
        <v>644002.48505921778</v>
      </c>
      <c r="O88" s="22">
        <f t="shared" si="120"/>
        <v>656602.10373931704</v>
      </c>
      <c r="P88" s="22">
        <f t="shared" si="120"/>
        <v>669448.89744216285</v>
      </c>
    </row>
    <row r="89" spans="1:16" x14ac:dyDescent="0.25">
      <c r="A89" s="9" t="s">
        <v>37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</row>
    <row r="90" spans="1:16" x14ac:dyDescent="0.25">
      <c r="A90" s="9" t="s">
        <v>38</v>
      </c>
      <c r="B90" s="22">
        <f t="shared" ref="B90:C90" si="121">B66+B67</f>
        <v>30445</v>
      </c>
      <c r="C90" s="22">
        <f t="shared" si="121"/>
        <v>31534</v>
      </c>
      <c r="D90" s="22">
        <f>D66+D67</f>
        <v>28453.594000000001</v>
      </c>
      <c r="E90" s="22">
        <f t="shared" ref="E90:P90" si="122">E66+E67</f>
        <v>27179.511999999999</v>
      </c>
      <c r="F90" s="22">
        <f t="shared" si="122"/>
        <v>21246.234</v>
      </c>
      <c r="G90" s="22">
        <f t="shared" si="122"/>
        <v>19319.955999999998</v>
      </c>
      <c r="H90" s="22">
        <f t="shared" si="122"/>
        <v>18740.673999999999</v>
      </c>
      <c r="I90" s="22">
        <f t="shared" si="122"/>
        <v>18161.392</v>
      </c>
      <c r="J90" s="22">
        <f t="shared" si="122"/>
        <v>17595.875499999998</v>
      </c>
      <c r="K90" s="22">
        <f t="shared" si="122"/>
        <v>0</v>
      </c>
      <c r="L90" s="22">
        <f t="shared" si="122"/>
        <v>0</v>
      </c>
      <c r="M90" s="22">
        <f t="shared" si="122"/>
        <v>0</v>
      </c>
      <c r="N90" s="22">
        <f t="shared" si="122"/>
        <v>0</v>
      </c>
      <c r="O90" s="22">
        <f t="shared" si="122"/>
        <v>0</v>
      </c>
      <c r="P90" s="22">
        <f t="shared" si="122"/>
        <v>0</v>
      </c>
    </row>
    <row r="91" spans="1:16" x14ac:dyDescent="0.25">
      <c r="A91" s="40" t="s">
        <v>56</v>
      </c>
      <c r="B91" s="45">
        <f t="shared" ref="B91:C91" si="123">B86+B87-B88-B89-B90</f>
        <v>30864.165269999939</v>
      </c>
      <c r="C91" s="45">
        <f t="shared" si="123"/>
        <v>82243.435320000048</v>
      </c>
      <c r="D91" s="45">
        <f t="shared" ref="D91:P91" si="124">D86+D87-D88-D89-D90</f>
        <v>18963.370422554301</v>
      </c>
      <c r="E91" s="45">
        <f t="shared" si="124"/>
        <v>16239.314119468781</v>
      </c>
      <c r="F91" s="45">
        <f t="shared" si="124"/>
        <v>7350.2723115385124</v>
      </c>
      <c r="G91" s="45">
        <f t="shared" si="124"/>
        <v>89548.26582716743</v>
      </c>
      <c r="H91" s="45">
        <f t="shared" si="124"/>
        <v>113187.68866355182</v>
      </c>
      <c r="I91" s="45">
        <f t="shared" si="124"/>
        <v>136225.05177696561</v>
      </c>
      <c r="J91" s="45">
        <f t="shared" si="124"/>
        <v>160295.86538681758</v>
      </c>
      <c r="K91" s="45">
        <f t="shared" si="124"/>
        <v>199183.05049225606</v>
      </c>
      <c r="L91" s="45">
        <f t="shared" si="124"/>
        <v>219908.87774474092</v>
      </c>
      <c r="M91" s="45">
        <f t="shared" si="124"/>
        <v>240082.19682000903</v>
      </c>
      <c r="N91" s="45">
        <f t="shared" si="124"/>
        <v>259708.2288887006</v>
      </c>
      <c r="O91" s="45">
        <f t="shared" si="124"/>
        <v>280435.81723936694</v>
      </c>
      <c r="P91" s="45">
        <f t="shared" si="124"/>
        <v>299008.75556343899</v>
      </c>
    </row>
    <row r="92" spans="1:16" x14ac:dyDescent="0.25">
      <c r="A92" s="40" t="s">
        <v>53</v>
      </c>
      <c r="B92" s="40"/>
      <c r="C92" s="40"/>
      <c r="D92" s="45">
        <f>C92+D91</f>
        <v>18963.370422554301</v>
      </c>
      <c r="E92" s="45">
        <f t="shared" ref="E92:P92" si="125">D92+E91</f>
        <v>35202.684542023082</v>
      </c>
      <c r="F92" s="45">
        <f t="shared" si="125"/>
        <v>42552.956853561598</v>
      </c>
      <c r="G92" s="45">
        <f t="shared" si="125"/>
        <v>132101.22268072903</v>
      </c>
      <c r="H92" s="45">
        <f t="shared" si="125"/>
        <v>245288.91134428084</v>
      </c>
      <c r="I92" s="45">
        <f t="shared" si="125"/>
        <v>381513.96312124643</v>
      </c>
      <c r="J92" s="45">
        <f t="shared" si="125"/>
        <v>541809.82850806403</v>
      </c>
      <c r="K92" s="45">
        <f t="shared" si="125"/>
        <v>740992.8790003201</v>
      </c>
      <c r="L92" s="45">
        <f t="shared" si="125"/>
        <v>960901.75674506102</v>
      </c>
      <c r="M92" s="45">
        <f t="shared" si="125"/>
        <v>1200983.9535650699</v>
      </c>
      <c r="N92" s="45">
        <f t="shared" si="125"/>
        <v>1460692.1824537707</v>
      </c>
      <c r="O92" s="45">
        <f t="shared" si="125"/>
        <v>1741127.9996931376</v>
      </c>
      <c r="P92" s="45">
        <f t="shared" si="125"/>
        <v>2040136.7552565765</v>
      </c>
    </row>
  </sheetData>
  <pageMargins left="0.7" right="0.7" top="0.75" bottom="0.75" header="0.3" footer="0.3"/>
  <pageSetup paperSize="9" orientation="portrait" r:id="rId1"/>
  <ignoredErrors>
    <ignoredError sqref="H23 D39:O39 D57 O50 M44:M46" formula="1"/>
    <ignoredError sqref="C83:O83 B9 E9:O9" evalError="1"/>
    <ignoredError sqref="B3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Ramsi VK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2026-09-15T05:20:55Z</dcterms:modified>
</cp:coreProperties>
</file>